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borodziuk.e\Desktop\zamknięcie września 2024\"/>
    </mc:Choice>
  </mc:AlternateContent>
  <xr:revisionPtr revIDLastSave="0" documentId="13_ncr:1_{69902957-A143-47BD-8FA5-F95357C8840B}" xr6:coauthVersionLast="47" xr6:coauthVersionMax="47" xr10:uidLastSave="{00000000-0000-0000-0000-000000000000}"/>
  <bookViews>
    <workbookView xWindow="-110" yWindow="-110" windowWidth="19420" windowHeight="10420" tabRatio="366" xr2:uid="{00000000-000D-0000-FFFF-FFFF00000000}"/>
  </bookViews>
  <sheets>
    <sheet name="RZiS" sheetId="1" r:id="rId1"/>
    <sheet name="Aktywa" sheetId="4" r:id="rId2"/>
    <sheet name="Pasywa" sheetId="2" r:id="rId3"/>
    <sheet name="CF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42" i="3" l="1"/>
  <c r="AN31" i="3"/>
  <c r="AN8" i="3" l="1"/>
  <c r="AN34" i="3"/>
  <c r="AN38" i="3" s="1"/>
  <c r="AN25" i="3"/>
  <c r="AN22" i="3"/>
  <c r="AN29" i="3" s="1"/>
  <c r="AN18" i="3"/>
  <c r="AN20" i="3" s="1"/>
  <c r="AN39" i="3" l="1"/>
  <c r="AN40" i="3" s="1"/>
  <c r="AN43" i="3" s="1"/>
  <c r="AN17" i="2" l="1"/>
  <c r="AN43" i="2"/>
  <c r="AN44" i="2"/>
  <c r="AN45" i="2"/>
  <c r="AN46" i="2"/>
  <c r="AN52" i="2"/>
  <c r="AN61" i="2"/>
  <c r="AN71" i="2" l="1"/>
  <c r="AN11" i="2"/>
  <c r="AN22" i="2" s="1"/>
  <c r="AN6" i="2"/>
  <c r="AN23" i="2" l="1"/>
  <c r="AN15" i="4" l="1"/>
  <c r="AN32" i="4"/>
  <c r="AN33" i="4"/>
  <c r="AN34" i="4"/>
  <c r="AN35" i="4" l="1"/>
  <c r="AN44" i="4" s="1"/>
  <c r="AN6" i="4"/>
  <c r="AN22" i="4" s="1"/>
  <c r="AN9" i="1" l="1"/>
  <c r="AN14" i="1" s="1"/>
  <c r="AN17" i="1" s="1"/>
  <c r="AN19" i="1" s="1"/>
  <c r="AN21" i="1" s="1"/>
  <c r="AN37" i="1"/>
  <c r="AN38" i="1"/>
  <c r="AN41" i="1"/>
  <c r="AN46" i="1" s="1"/>
  <c r="AN50" i="1" l="1"/>
  <c r="AN52" i="1" s="1"/>
  <c r="AN54" i="1" s="1"/>
  <c r="AN57" i="1"/>
  <c r="AN58" i="1"/>
  <c r="AM42" i="3" l="1"/>
  <c r="AM31" i="3"/>
  <c r="AM25" i="3"/>
  <c r="AM22" i="3"/>
  <c r="AM43" i="2"/>
  <c r="AM44" i="2"/>
  <c r="AM45" i="2"/>
  <c r="AM46" i="2"/>
  <c r="AM52" i="2"/>
  <c r="AM61" i="2"/>
  <c r="AM32" i="4"/>
  <c r="AM33" i="4"/>
  <c r="AM34" i="4"/>
  <c r="AM35" i="4"/>
  <c r="AM44" i="4" s="1"/>
  <c r="AM15" i="4" l="1"/>
  <c r="AM6" i="4"/>
  <c r="AM71" i="2"/>
  <c r="AM34" i="3"/>
  <c r="AM38" i="3" s="1"/>
  <c r="AM29" i="3"/>
  <c r="AM8" i="3"/>
  <c r="AM18" i="3" s="1"/>
  <c r="AM20" i="3" s="1"/>
  <c r="AM17" i="2"/>
  <c r="AM11" i="2"/>
  <c r="AM6" i="2"/>
  <c r="AM22" i="4"/>
  <c r="AM22" i="2" l="1"/>
  <c r="AM39" i="3"/>
  <c r="AM40" i="3" s="1"/>
  <c r="AM43" i="3" s="1"/>
  <c r="AM23" i="2"/>
  <c r="AM9" i="1" l="1"/>
  <c r="AM14" i="1" s="1"/>
  <c r="AM17" i="1" s="1"/>
  <c r="AM19" i="1" s="1"/>
  <c r="AM21" i="1" s="1"/>
  <c r="AM37" i="1"/>
  <c r="AM38" i="1"/>
  <c r="AM41" i="1"/>
  <c r="AM46" i="1" s="1"/>
  <c r="AL42" i="3"/>
  <c r="AL31" i="3"/>
  <c r="AL25" i="3"/>
  <c r="AL22" i="3"/>
  <c r="AM50" i="1" l="1"/>
  <c r="AM52" i="1" s="1"/>
  <c r="AM54" i="1" s="1"/>
  <c r="AM57" i="1"/>
  <c r="AM58" i="1"/>
  <c r="AL34" i="3"/>
  <c r="AL38" i="3"/>
  <c r="AL29" i="3"/>
  <c r="AL8" i="3"/>
  <c r="AL18" i="3" s="1"/>
  <c r="AL20" i="3" s="1"/>
  <c r="AL39" i="3" l="1"/>
  <c r="AL40" i="3" s="1"/>
  <c r="AL43" i="3" s="1"/>
  <c r="AL43" i="2" l="1"/>
  <c r="AL44" i="2"/>
  <c r="AL45" i="2"/>
  <c r="AL61" i="2"/>
  <c r="AL6" i="2"/>
  <c r="AL11" i="2"/>
  <c r="AL17" i="2"/>
  <c r="AL32" i="4"/>
  <c r="AL33" i="4"/>
  <c r="AL34" i="4"/>
  <c r="AL6" i="4"/>
  <c r="AL15" i="4"/>
  <c r="AL37" i="1"/>
  <c r="AL38" i="1"/>
  <c r="AL22" i="2" l="1"/>
  <c r="AL23" i="2" s="1"/>
  <c r="AL22" i="4"/>
  <c r="AL52" i="2"/>
  <c r="AL46" i="2"/>
  <c r="AL35" i="4"/>
  <c r="AL44" i="4" s="1"/>
  <c r="AL41" i="1"/>
  <c r="AL46" i="1" s="1"/>
  <c r="AL50" i="1" s="1"/>
  <c r="AL52" i="1" s="1"/>
  <c r="AL54" i="1" s="1"/>
  <c r="AL9" i="1"/>
  <c r="AL14" i="1" s="1"/>
  <c r="AL17" i="1" s="1"/>
  <c r="AL19" i="1" s="1"/>
  <c r="AL21" i="1" s="1"/>
  <c r="AL71" i="2" l="1"/>
  <c r="AL57" i="1"/>
  <c r="AL58" i="1"/>
  <c r="AK41" i="1" l="1"/>
  <c r="AK32" i="4"/>
  <c r="AK33" i="4"/>
  <c r="AK34" i="4"/>
  <c r="AK43" i="2"/>
  <c r="AK44" i="2"/>
  <c r="AK45" i="2"/>
  <c r="AK35" i="4" l="1"/>
  <c r="AK44" i="4" s="1"/>
  <c r="AK61" i="2"/>
  <c r="AK52" i="2"/>
  <c r="AK46" i="2"/>
  <c r="AK71" i="2" l="1"/>
  <c r="AK43" i="3" l="1"/>
  <c r="AK42" i="3"/>
  <c r="AK25" i="3"/>
  <c r="AK22" i="3"/>
  <c r="AK31" i="3"/>
  <c r="AK34" i="3" l="1"/>
  <c r="AK38" i="3" s="1"/>
  <c r="AK29" i="3"/>
  <c r="AK8" i="3"/>
  <c r="AK18" i="3" s="1"/>
  <c r="AK20" i="3" s="1"/>
  <c r="AK17" i="2"/>
  <c r="AK11" i="2"/>
  <c r="AK22" i="2" s="1"/>
  <c r="AK23" i="2" s="1"/>
  <c r="AK6" i="2"/>
  <c r="AK15" i="4"/>
  <c r="AK6" i="4"/>
  <c r="AK22" i="4" s="1"/>
  <c r="AK39" i="3" l="1"/>
  <c r="AK40" i="3" s="1"/>
  <c r="AK37" i="1" l="1"/>
  <c r="AK38" i="1"/>
  <c r="AK46" i="1"/>
  <c r="AK57" i="1" s="1"/>
  <c r="AK9" i="1"/>
  <c r="AK14" i="1" s="1"/>
  <c r="AK17" i="1" s="1"/>
  <c r="AK19" i="1" s="1"/>
  <c r="AK21" i="1" s="1"/>
  <c r="AG14" i="1"/>
  <c r="AG17" i="1" s="1"/>
  <c r="AG19" i="1" s="1"/>
  <c r="AJ14" i="1"/>
  <c r="AJ17" i="1" s="1"/>
  <c r="AJ19" i="1" s="1"/>
  <c r="AE9" i="1"/>
  <c r="AE14" i="1" s="1"/>
  <c r="AF9" i="1"/>
  <c r="AF14" i="1" s="1"/>
  <c r="AF17" i="1" s="1"/>
  <c r="AF19" i="1" s="1"/>
  <c r="AG9" i="1"/>
  <c r="AH9" i="1"/>
  <c r="AH14" i="1" s="1"/>
  <c r="AH17" i="1" s="1"/>
  <c r="AH19" i="1" s="1"/>
  <c r="AI9" i="1"/>
  <c r="AI14" i="1" s="1"/>
  <c r="AI17" i="1" s="1"/>
  <c r="AI19" i="1" s="1"/>
  <c r="AJ9" i="1"/>
  <c r="AK50" i="1" l="1"/>
  <c r="AK52" i="1" s="1"/>
  <c r="AK54" i="1" s="1"/>
  <c r="AK58" i="1"/>
  <c r="AJ8" i="3"/>
  <c r="AJ18" i="3" s="1"/>
  <c r="AJ20" i="3" s="1"/>
  <c r="AJ22" i="3"/>
  <c r="AJ25" i="3"/>
  <c r="AJ31" i="3"/>
  <c r="AJ34" i="3"/>
  <c r="AJ6" i="2"/>
  <c r="AJ11" i="2"/>
  <c r="AJ17" i="2"/>
  <c r="AJ43" i="2"/>
  <c r="AJ44" i="2"/>
  <c r="AJ45" i="2"/>
  <c r="AJ46" i="2"/>
  <c r="AJ52" i="2"/>
  <c r="AJ61" i="2"/>
  <c r="AJ6" i="4"/>
  <c r="AJ15" i="4"/>
  <c r="AJ22" i="4"/>
  <c r="AJ32" i="4"/>
  <c r="AJ33" i="4"/>
  <c r="AJ34" i="4"/>
  <c r="AJ35" i="4"/>
  <c r="AJ44" i="4" s="1"/>
  <c r="AJ21" i="1"/>
  <c r="AJ37" i="1"/>
  <c r="AJ38" i="1"/>
  <c r="AJ46" i="1"/>
  <c r="AJ50" i="1" s="1"/>
  <c r="AJ52" i="1" s="1"/>
  <c r="AJ54" i="1" s="1"/>
  <c r="AI25" i="3"/>
  <c r="AJ38" i="3" l="1"/>
  <c r="AJ29" i="3"/>
  <c r="AJ22" i="2"/>
  <c r="AJ23" i="2" s="1"/>
  <c r="AJ71" i="2"/>
  <c r="AJ57" i="1"/>
  <c r="AJ58" i="1"/>
  <c r="AI34" i="3"/>
  <c r="AI31" i="3"/>
  <c r="AI22" i="3"/>
  <c r="AI29" i="3" s="1"/>
  <c r="AI8" i="3"/>
  <c r="AI18" i="3" s="1"/>
  <c r="AI20" i="3" s="1"/>
  <c r="AI61" i="2"/>
  <c r="AI52" i="2"/>
  <c r="AI46" i="2"/>
  <c r="AI45" i="2"/>
  <c r="AI44" i="2"/>
  <c r="AI43" i="2"/>
  <c r="AI17" i="2"/>
  <c r="AI11" i="2"/>
  <c r="AI6" i="2"/>
  <c r="AI35" i="4"/>
  <c r="AI44" i="4" s="1"/>
  <c r="AI34" i="4"/>
  <c r="AI33" i="4"/>
  <c r="AI32" i="4"/>
  <c r="AI15" i="4"/>
  <c r="AI6" i="4"/>
  <c r="AI46" i="1"/>
  <c r="AI58" i="1" s="1"/>
  <c r="AI38" i="1"/>
  <c r="AI37" i="1"/>
  <c r="AI21" i="1"/>
  <c r="AB40" i="3"/>
  <c r="AC40" i="3"/>
  <c r="AJ39" i="3" l="1"/>
  <c r="AJ40" i="3" s="1"/>
  <c r="AI22" i="4"/>
  <c r="AI38" i="3"/>
  <c r="AI39" i="3" s="1"/>
  <c r="AI40" i="3" s="1"/>
  <c r="AI71" i="2"/>
  <c r="AI22" i="2"/>
  <c r="AI23" i="2" s="1"/>
  <c r="AI57" i="1"/>
  <c r="AI50" i="1"/>
  <c r="AH25" i="3"/>
  <c r="AE22" i="3"/>
  <c r="AF22" i="3"/>
  <c r="AG22" i="3"/>
  <c r="AH22" i="3"/>
  <c r="AD22" i="3"/>
  <c r="AI52" i="1" l="1"/>
  <c r="AI54" i="1" s="1"/>
  <c r="AG34" i="3"/>
  <c r="AH34" i="3"/>
  <c r="AH31" i="3"/>
  <c r="AH29" i="3"/>
  <c r="AH8" i="3"/>
  <c r="AH18" i="3" s="1"/>
  <c r="AH20" i="3" s="1"/>
  <c r="AG31" i="3"/>
  <c r="AG25" i="3"/>
  <c r="AG8" i="3"/>
  <c r="AG18" i="3" s="1"/>
  <c r="AG20" i="3" s="1"/>
  <c r="AF34" i="3"/>
  <c r="AF31" i="3"/>
  <c r="AF25" i="3"/>
  <c r="AF8" i="3"/>
  <c r="AF18" i="3" s="1"/>
  <c r="AF20" i="3" s="1"/>
  <c r="AH61" i="2"/>
  <c r="AH52" i="2"/>
  <c r="AH46" i="2"/>
  <c r="AH45" i="2"/>
  <c r="AH44" i="2"/>
  <c r="AH43" i="2"/>
  <c r="AH17" i="2"/>
  <c r="AH11" i="2"/>
  <c r="AH6" i="2"/>
  <c r="AG61" i="2"/>
  <c r="AG52" i="2"/>
  <c r="AG46" i="2"/>
  <c r="AG45" i="2"/>
  <c r="AG44" i="2"/>
  <c r="AG43" i="2"/>
  <c r="AG17" i="2"/>
  <c r="AG11" i="2"/>
  <c r="AG6" i="2"/>
  <c r="AH35" i="4"/>
  <c r="AH44" i="4" s="1"/>
  <c r="AH34" i="4"/>
  <c r="AH33" i="4"/>
  <c r="AH32" i="4"/>
  <c r="AH15" i="4"/>
  <c r="AH6" i="4"/>
  <c r="AG35" i="4"/>
  <c r="AG44" i="4" s="1"/>
  <c r="AG34" i="4"/>
  <c r="AG33" i="4"/>
  <c r="AG32" i="4"/>
  <c r="AG15" i="4"/>
  <c r="AG6" i="4"/>
  <c r="AG22" i="4" s="1"/>
  <c r="AH22" i="4" l="1"/>
  <c r="AH38" i="3"/>
  <c r="AH39" i="3" s="1"/>
  <c r="AH40" i="3" s="1"/>
  <c r="AH71" i="2"/>
  <c r="AF29" i="3"/>
  <c r="AF38" i="3"/>
  <c r="AG38" i="3"/>
  <c r="AG29" i="3"/>
  <c r="AH22" i="2"/>
  <c r="AH23" i="2" s="1"/>
  <c r="AG71" i="2"/>
  <c r="AG22" i="2"/>
  <c r="AG23" i="2" s="1"/>
  <c r="AF39" i="3" l="1"/>
  <c r="AG39" i="3"/>
  <c r="AH46" i="1"/>
  <c r="AH58" i="1" s="1"/>
  <c r="AH37" i="1"/>
  <c r="AH21" i="1"/>
  <c r="AH38" i="1"/>
  <c r="AG46" i="1"/>
  <c r="AG50" i="1" s="1"/>
  <c r="AG52" i="1" s="1"/>
  <c r="AG54" i="1" s="1"/>
  <c r="AG37" i="1"/>
  <c r="AG21" i="1"/>
  <c r="AG38" i="1"/>
  <c r="AE25" i="3"/>
  <c r="AF61" i="2"/>
  <c r="AE61" i="2"/>
  <c r="AD61" i="2"/>
  <c r="AF52" i="2"/>
  <c r="AE52" i="2"/>
  <c r="AD52" i="2"/>
  <c r="AF46" i="2"/>
  <c r="AE46" i="2"/>
  <c r="AD46" i="2"/>
  <c r="AF45" i="2"/>
  <c r="AF44" i="2"/>
  <c r="AF43" i="2"/>
  <c r="AF17" i="2"/>
  <c r="AF11" i="2"/>
  <c r="AF6" i="2"/>
  <c r="AF35" i="4"/>
  <c r="AF44" i="4" s="1"/>
  <c r="AE35" i="4"/>
  <c r="AF6" i="4"/>
  <c r="AF34" i="4"/>
  <c r="AF33" i="4"/>
  <c r="AF32" i="4"/>
  <c r="AF15" i="4"/>
  <c r="AF22" i="4" s="1"/>
  <c r="AG43" i="3" l="1"/>
  <c r="AG40" i="3"/>
  <c r="AF43" i="3"/>
  <c r="AF40" i="3"/>
  <c r="AD71" i="2"/>
  <c r="AG57" i="1"/>
  <c r="AG58" i="1"/>
  <c r="AH50" i="1"/>
  <c r="AH52" i="1" s="1"/>
  <c r="AH54" i="1" s="1"/>
  <c r="AH57" i="1"/>
  <c r="AE71" i="2"/>
  <c r="AF71" i="2"/>
  <c r="AF22" i="2"/>
  <c r="AF23" i="2" s="1"/>
  <c r="AF37" i="1" l="1"/>
  <c r="AF38" i="1"/>
  <c r="AF46" i="1"/>
  <c r="AF21" i="1"/>
  <c r="AF58" i="1" l="1"/>
  <c r="AF50" i="1"/>
  <c r="AF52" i="1" s="1"/>
  <c r="AF54" i="1" s="1"/>
  <c r="AF57" i="1"/>
  <c r="AD25" i="3"/>
  <c r="AC25" i="3"/>
  <c r="AB25" i="3"/>
  <c r="AE34" i="3"/>
  <c r="AE31" i="3"/>
  <c r="AE29" i="3"/>
  <c r="AE8" i="3"/>
  <c r="AE18" i="3" s="1"/>
  <c r="AE20" i="3" s="1"/>
  <c r="AE45" i="2"/>
  <c r="AE44" i="2"/>
  <c r="AE43" i="2"/>
  <c r="AC17" i="2"/>
  <c r="AD17" i="2"/>
  <c r="AE17" i="2"/>
  <c r="AB17" i="2"/>
  <c r="AC11" i="2"/>
  <c r="AD11" i="2"/>
  <c r="AE11" i="2"/>
  <c r="AB11" i="2"/>
  <c r="AC6" i="2"/>
  <c r="AD6" i="2"/>
  <c r="AE6" i="2"/>
  <c r="AB6" i="2"/>
  <c r="AE44" i="4"/>
  <c r="AE34" i="4"/>
  <c r="AE33" i="4"/>
  <c r="AE32" i="4"/>
  <c r="AE15" i="4"/>
  <c r="AE6" i="4"/>
  <c r="AE38" i="3" l="1"/>
  <c r="AE39" i="3" s="1"/>
  <c r="AE40" i="3" s="1"/>
  <c r="AD22" i="2"/>
  <c r="AD23" i="2" s="1"/>
  <c r="AC22" i="2"/>
  <c r="AC23" i="2" s="1"/>
  <c r="AE22" i="2"/>
  <c r="AE23" i="2" s="1"/>
  <c r="AE22" i="4"/>
  <c r="AE41" i="1" l="1"/>
  <c r="AE46" i="1" s="1"/>
  <c r="AE38" i="1"/>
  <c r="AE17" i="1"/>
  <c r="AE19" i="1" s="1"/>
  <c r="AE21" i="1" s="1"/>
  <c r="AE58" i="1" l="1"/>
  <c r="AE50" i="1"/>
  <c r="AE52" i="1" s="1"/>
  <c r="AE54" i="1" s="1"/>
  <c r="AE57" i="1"/>
  <c r="AD34" i="3"/>
  <c r="AD31" i="3"/>
  <c r="AD29" i="3"/>
  <c r="AD8" i="3"/>
  <c r="AD18" i="3" s="1"/>
  <c r="AD20" i="3" s="1"/>
  <c r="AD45" i="2"/>
  <c r="AD44" i="2"/>
  <c r="AD43" i="2"/>
  <c r="AB22" i="2"/>
  <c r="AB23" i="2" s="1"/>
  <c r="AD34" i="4"/>
  <c r="AD33" i="4"/>
  <c r="AD32" i="4"/>
  <c r="AD35" i="4"/>
  <c r="AD44" i="4" s="1"/>
  <c r="AD15" i="4"/>
  <c r="AD6" i="4"/>
  <c r="AD22" i="4" l="1"/>
  <c r="AD38" i="3"/>
  <c r="AD39" i="3" s="1"/>
  <c r="AD43" i="3" l="1"/>
  <c r="AD40" i="3"/>
  <c r="AD41" i="1"/>
  <c r="AD46" i="1" s="1"/>
  <c r="AD38" i="1"/>
  <c r="AD9" i="1"/>
  <c r="AD14" i="1" s="1"/>
  <c r="AD17" i="1" s="1"/>
  <c r="AD19" i="1" s="1"/>
  <c r="AD21" i="1" s="1"/>
  <c r="AD58" i="1" l="1"/>
  <c r="AD50" i="1"/>
  <c r="AD52" i="1" s="1"/>
  <c r="AD54" i="1" s="1"/>
  <c r="AD57" i="1"/>
  <c r="AC44" i="2" l="1"/>
  <c r="AC45" i="2"/>
  <c r="AB44" i="2"/>
  <c r="AB43" i="2"/>
  <c r="AB45" i="2"/>
  <c r="AB18" i="4"/>
  <c r="AB17" i="4"/>
  <c r="AB9" i="4"/>
  <c r="AB6" i="4" s="1"/>
  <c r="AC15" i="4"/>
  <c r="AC6" i="4"/>
  <c r="AC34" i="4"/>
  <c r="AB34" i="4"/>
  <c r="AC35" i="4"/>
  <c r="AC41" i="1"/>
  <c r="AC46" i="1" s="1"/>
  <c r="AB41" i="1"/>
  <c r="AB46" i="1" s="1"/>
  <c r="AB16" i="1"/>
  <c r="AB13" i="1"/>
  <c r="AB9" i="1"/>
  <c r="AC16" i="1"/>
  <c r="AC13" i="1"/>
  <c r="AC8" i="1"/>
  <c r="AC9" i="1" s="1"/>
  <c r="AC38" i="1"/>
  <c r="AB38" i="1"/>
  <c r="AC22" i="4" l="1"/>
  <c r="AB15" i="4"/>
  <c r="AB22" i="4" s="1"/>
  <c r="AC46" i="2"/>
  <c r="AC61" i="2"/>
  <c r="AB46" i="2"/>
  <c r="AC52" i="2"/>
  <c r="AB61" i="2"/>
  <c r="AB52" i="2"/>
  <c r="AB35" i="4"/>
  <c r="AB44" i="4" s="1"/>
  <c r="AC44" i="4"/>
  <c r="AC50" i="1"/>
  <c r="AC52" i="1" s="1"/>
  <c r="AC54" i="1" s="1"/>
  <c r="AC58" i="1"/>
  <c r="AC57" i="1"/>
  <c r="AB58" i="1"/>
  <c r="AB50" i="1"/>
  <c r="AB52" i="1" s="1"/>
  <c r="AB54" i="1" s="1"/>
  <c r="AB57" i="1"/>
  <c r="AC14" i="1"/>
  <c r="AC17" i="1" s="1"/>
  <c r="AB14" i="1"/>
  <c r="AB17" i="1" s="1"/>
  <c r="M55" i="2"/>
  <c r="L55" i="2"/>
  <c r="J55" i="2"/>
  <c r="I55" i="2"/>
  <c r="H55" i="2"/>
  <c r="G55" i="2"/>
  <c r="F55" i="2"/>
  <c r="E55" i="2"/>
  <c r="D55" i="2"/>
  <c r="C55" i="2"/>
  <c r="N54" i="2"/>
  <c r="M54" i="2"/>
  <c r="L54" i="2"/>
  <c r="J54" i="2"/>
  <c r="I54" i="2"/>
  <c r="H54" i="2"/>
  <c r="G54" i="2"/>
  <c r="F54" i="2"/>
  <c r="E54" i="2"/>
  <c r="D54" i="2"/>
  <c r="C54" i="2"/>
  <c r="K54" i="2"/>
  <c r="M64" i="2"/>
  <c r="L64" i="2"/>
  <c r="J64" i="2"/>
  <c r="I64" i="2"/>
  <c r="H64" i="2"/>
  <c r="G64" i="2"/>
  <c r="F64" i="2"/>
  <c r="E64" i="2"/>
  <c r="D64" i="2"/>
  <c r="C64" i="2"/>
  <c r="M63" i="2"/>
  <c r="L63" i="2"/>
  <c r="J63" i="2"/>
  <c r="I63" i="2"/>
  <c r="H63" i="2"/>
  <c r="G63" i="2"/>
  <c r="F63" i="2"/>
  <c r="E63" i="2"/>
  <c r="D63" i="2"/>
  <c r="C63" i="2"/>
  <c r="C65" i="2"/>
  <c r="Q65" i="2"/>
  <c r="N68" i="2"/>
  <c r="M68" i="2"/>
  <c r="L68" i="2"/>
  <c r="K68" i="2"/>
  <c r="J68" i="2"/>
  <c r="H68" i="2"/>
  <c r="G68" i="2"/>
  <c r="F68" i="2"/>
  <c r="E68" i="2"/>
  <c r="D68" i="2"/>
  <c r="C68" i="2"/>
  <c r="H65" i="2"/>
  <c r="G65" i="2"/>
  <c r="F65" i="2"/>
  <c r="E65" i="2"/>
  <c r="D65" i="2"/>
  <c r="N65" i="2"/>
  <c r="M65" i="2"/>
  <c r="L65" i="2"/>
  <c r="K65" i="2"/>
  <c r="J65" i="2"/>
  <c r="I65" i="2"/>
  <c r="I68" i="2"/>
  <c r="AC71" i="2" l="1"/>
  <c r="AB71" i="2"/>
  <c r="AB19" i="1"/>
  <c r="AB21" i="1" s="1"/>
  <c r="AC19" i="1"/>
  <c r="AC21" i="1" s="1"/>
  <c r="N57" i="2"/>
  <c r="M57" i="2"/>
  <c r="L57" i="2"/>
  <c r="K57" i="2"/>
  <c r="J57" i="2"/>
  <c r="I57" i="2"/>
  <c r="H57" i="2"/>
  <c r="G57" i="2"/>
  <c r="F57" i="2"/>
  <c r="E57" i="2"/>
  <c r="D57" i="2"/>
  <c r="N56" i="2"/>
  <c r="M56" i="2"/>
  <c r="L56" i="2"/>
  <c r="K56" i="2"/>
  <c r="J56" i="2"/>
  <c r="I56" i="2"/>
  <c r="H56" i="2"/>
  <c r="G56" i="2"/>
  <c r="F56" i="2"/>
  <c r="E56" i="2"/>
  <c r="D56" i="2"/>
  <c r="C56" i="2"/>
  <c r="C57" i="2"/>
  <c r="Q61" i="2"/>
  <c r="U61" i="2"/>
  <c r="N70" i="2"/>
  <c r="M70" i="2"/>
  <c r="L70" i="2"/>
  <c r="K70" i="2"/>
  <c r="J70" i="2"/>
  <c r="I70" i="2"/>
  <c r="H70" i="2"/>
  <c r="G70" i="2"/>
  <c r="F70" i="2"/>
  <c r="E70" i="2"/>
  <c r="D70" i="2"/>
  <c r="N69" i="2"/>
  <c r="M69" i="2"/>
  <c r="L69" i="2"/>
  <c r="K69" i="2"/>
  <c r="J69" i="2"/>
  <c r="I69" i="2"/>
  <c r="H69" i="2"/>
  <c r="G69" i="2"/>
  <c r="F69" i="2"/>
  <c r="E69" i="2"/>
  <c r="D69" i="2"/>
  <c r="Y61" i="2"/>
  <c r="N67" i="2"/>
  <c r="M67" i="2"/>
  <c r="L67" i="2"/>
  <c r="K67" i="2"/>
  <c r="J67" i="2"/>
  <c r="I67" i="2"/>
  <c r="H67" i="2"/>
  <c r="G67" i="2"/>
  <c r="F67" i="2"/>
  <c r="E67" i="2"/>
  <c r="D67" i="2"/>
  <c r="N66" i="2"/>
  <c r="M66" i="2"/>
  <c r="L66" i="2"/>
  <c r="K66" i="2"/>
  <c r="J66" i="2"/>
  <c r="I66" i="2"/>
  <c r="H66" i="2"/>
  <c r="G66" i="2"/>
  <c r="F66" i="2"/>
  <c r="E66" i="2"/>
  <c r="D66" i="2"/>
  <c r="N63" i="2"/>
  <c r="K63" i="2"/>
  <c r="X61" i="2"/>
  <c r="W61" i="2"/>
  <c r="T61" i="2"/>
  <c r="S61" i="2"/>
  <c r="P61" i="2"/>
  <c r="O61" i="2"/>
  <c r="N62" i="2"/>
  <c r="M62" i="2"/>
  <c r="L62" i="2"/>
  <c r="K62" i="2"/>
  <c r="J62" i="2"/>
  <c r="I62" i="2"/>
  <c r="H62" i="2"/>
  <c r="G62" i="2"/>
  <c r="F62" i="2"/>
  <c r="E62" i="2"/>
  <c r="D62" i="2"/>
  <c r="V61" i="2"/>
  <c r="R61" i="2"/>
  <c r="N60" i="2"/>
  <c r="M60" i="2"/>
  <c r="L60" i="2"/>
  <c r="K60" i="2"/>
  <c r="J60" i="2"/>
  <c r="I60" i="2"/>
  <c r="H60" i="2"/>
  <c r="G60" i="2"/>
  <c r="F60" i="2"/>
  <c r="E60" i="2"/>
  <c r="D60" i="2"/>
  <c r="N59" i="2"/>
  <c r="M59" i="2"/>
  <c r="L59" i="2"/>
  <c r="K59" i="2"/>
  <c r="J59" i="2"/>
  <c r="I59" i="2"/>
  <c r="H59" i="2"/>
  <c r="G59" i="2"/>
  <c r="F59" i="2"/>
  <c r="E59" i="2"/>
  <c r="D59" i="2"/>
  <c r="X52" i="2"/>
  <c r="T52" i="2"/>
  <c r="P52" i="2"/>
  <c r="N58" i="2"/>
  <c r="M58" i="2"/>
  <c r="L58" i="2"/>
  <c r="K58" i="2"/>
  <c r="J58" i="2"/>
  <c r="I58" i="2"/>
  <c r="H58" i="2"/>
  <c r="G58" i="2"/>
  <c r="F58" i="2"/>
  <c r="E58" i="2"/>
  <c r="D58" i="2"/>
  <c r="W52" i="2"/>
  <c r="V52" i="2"/>
  <c r="S52" i="2"/>
  <c r="R52" i="2"/>
  <c r="O52" i="2"/>
  <c r="N53" i="2"/>
  <c r="M53" i="2"/>
  <c r="L53" i="2"/>
  <c r="K53" i="2"/>
  <c r="J53" i="2"/>
  <c r="I53" i="2"/>
  <c r="H53" i="2"/>
  <c r="G53" i="2"/>
  <c r="F53" i="2"/>
  <c r="E53" i="2"/>
  <c r="D53" i="2"/>
  <c r="Y52" i="2"/>
  <c r="U52" i="2"/>
  <c r="Q52" i="2"/>
  <c r="N51" i="2"/>
  <c r="M51" i="2"/>
  <c r="L51" i="2"/>
  <c r="K51" i="2"/>
  <c r="J51" i="2"/>
  <c r="I51" i="2"/>
  <c r="H51" i="2"/>
  <c r="G51" i="2"/>
  <c r="F51" i="2"/>
  <c r="E51" i="2"/>
  <c r="D51" i="2"/>
  <c r="N50" i="2"/>
  <c r="M50" i="2"/>
  <c r="L50" i="2"/>
  <c r="K50" i="2"/>
  <c r="J50" i="2"/>
  <c r="I50" i="2"/>
  <c r="H50" i="2"/>
  <c r="G50" i="2"/>
  <c r="F50" i="2"/>
  <c r="E50" i="2"/>
  <c r="D50" i="2"/>
  <c r="N49" i="2"/>
  <c r="M49" i="2"/>
  <c r="L49" i="2"/>
  <c r="K49" i="2"/>
  <c r="J49" i="2"/>
  <c r="I49" i="2"/>
  <c r="H49" i="2"/>
  <c r="G49" i="2"/>
  <c r="F49" i="2"/>
  <c r="E49" i="2"/>
  <c r="D49" i="2"/>
  <c r="V46" i="2"/>
  <c r="R46" i="2"/>
  <c r="N48" i="2"/>
  <c r="M48" i="2"/>
  <c r="L48" i="2"/>
  <c r="K48" i="2"/>
  <c r="J48" i="2"/>
  <c r="I48" i="2"/>
  <c r="H48" i="2"/>
  <c r="G48" i="2"/>
  <c r="F48" i="2"/>
  <c r="E48" i="2"/>
  <c r="D48" i="2"/>
  <c r="Y46" i="2"/>
  <c r="X46" i="2"/>
  <c r="U46" i="2"/>
  <c r="T46" i="2"/>
  <c r="Q46" i="2"/>
  <c r="P46" i="2"/>
  <c r="N47" i="2"/>
  <c r="M47" i="2"/>
  <c r="L47" i="2"/>
  <c r="K47" i="2"/>
  <c r="J47" i="2"/>
  <c r="I47" i="2"/>
  <c r="H47" i="2"/>
  <c r="G47" i="2"/>
  <c r="F47" i="2"/>
  <c r="E47" i="2"/>
  <c r="D47" i="2"/>
  <c r="W46" i="2"/>
  <c r="S46" i="2"/>
  <c r="O46" i="2"/>
  <c r="C70" i="2"/>
  <c r="C69" i="2"/>
  <c r="C67" i="2"/>
  <c r="C66" i="2"/>
  <c r="C62" i="2"/>
  <c r="C60" i="2"/>
  <c r="C59" i="2"/>
  <c r="C58" i="2"/>
  <c r="C53" i="2"/>
  <c r="C51" i="2"/>
  <c r="C50" i="2"/>
  <c r="C49" i="2"/>
  <c r="C48" i="2"/>
  <c r="C47" i="2"/>
  <c r="X35" i="4"/>
  <c r="Y35" i="4"/>
  <c r="W35" i="4"/>
  <c r="N40" i="4"/>
  <c r="M40" i="4"/>
  <c r="L40" i="4"/>
  <c r="K40" i="4"/>
  <c r="J40" i="4"/>
  <c r="I40" i="4"/>
  <c r="H40" i="4"/>
  <c r="G40" i="4"/>
  <c r="F40" i="4"/>
  <c r="E40" i="4"/>
  <c r="D40" i="4"/>
  <c r="V35" i="4"/>
  <c r="R35" i="4"/>
  <c r="N39" i="4"/>
  <c r="M39" i="4"/>
  <c r="L39" i="4"/>
  <c r="K39" i="4"/>
  <c r="J39" i="4"/>
  <c r="I39" i="4"/>
  <c r="H39" i="4"/>
  <c r="G39" i="4"/>
  <c r="F39" i="4"/>
  <c r="E39" i="4"/>
  <c r="D39" i="4"/>
  <c r="U35" i="4"/>
  <c r="Q35" i="4"/>
  <c r="N38" i="4"/>
  <c r="M38" i="4"/>
  <c r="L38" i="4"/>
  <c r="K38" i="4"/>
  <c r="J38" i="4"/>
  <c r="I38" i="4"/>
  <c r="H38" i="4"/>
  <c r="G38" i="4"/>
  <c r="F38" i="4"/>
  <c r="E38" i="4"/>
  <c r="D38" i="4"/>
  <c r="T35" i="4"/>
  <c r="P35" i="4"/>
  <c r="N37" i="4"/>
  <c r="M37" i="4"/>
  <c r="L37" i="4"/>
  <c r="K37" i="4"/>
  <c r="J37" i="4"/>
  <c r="I37" i="4"/>
  <c r="H37" i="4"/>
  <c r="G37" i="4"/>
  <c r="F37" i="4"/>
  <c r="E37" i="4"/>
  <c r="D37" i="4"/>
  <c r="N36" i="4"/>
  <c r="M36" i="4"/>
  <c r="L36" i="4"/>
  <c r="K36" i="4"/>
  <c r="J36" i="4"/>
  <c r="I36" i="4"/>
  <c r="H36" i="4"/>
  <c r="G36" i="4"/>
  <c r="F36" i="4"/>
  <c r="E36" i="4"/>
  <c r="D36" i="4"/>
  <c r="C40" i="4"/>
  <c r="C39" i="4"/>
  <c r="C38" i="4"/>
  <c r="C37" i="4"/>
  <c r="C36" i="4"/>
  <c r="S35" i="4"/>
  <c r="O35" i="4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F38" i="1"/>
  <c r="E38" i="1"/>
  <c r="D38" i="1"/>
  <c r="C38" i="1"/>
  <c r="D42" i="1"/>
  <c r="E42" i="1"/>
  <c r="F42" i="1"/>
  <c r="G42" i="1"/>
  <c r="H42" i="1"/>
  <c r="I42" i="1"/>
  <c r="J42" i="1"/>
  <c r="K42" i="1"/>
  <c r="L42" i="1"/>
  <c r="M42" i="1"/>
  <c r="N42" i="1"/>
  <c r="D43" i="1"/>
  <c r="E43" i="1"/>
  <c r="F43" i="1"/>
  <c r="G43" i="1"/>
  <c r="H43" i="1"/>
  <c r="I43" i="1"/>
  <c r="J43" i="1"/>
  <c r="K43" i="1"/>
  <c r="L43" i="1"/>
  <c r="M43" i="1"/>
  <c r="N43" i="1"/>
  <c r="D44" i="1"/>
  <c r="E44" i="1"/>
  <c r="F44" i="1"/>
  <c r="G44" i="1"/>
  <c r="H44" i="1"/>
  <c r="I44" i="1"/>
  <c r="J44" i="1"/>
  <c r="K44" i="1"/>
  <c r="L44" i="1"/>
  <c r="M44" i="1"/>
  <c r="N44" i="1"/>
  <c r="D45" i="1"/>
  <c r="E45" i="1"/>
  <c r="F45" i="1"/>
  <c r="G45" i="1"/>
  <c r="H45" i="1"/>
  <c r="I45" i="1"/>
  <c r="J45" i="1"/>
  <c r="K45" i="1"/>
  <c r="L45" i="1"/>
  <c r="M45" i="1"/>
  <c r="N45" i="1"/>
  <c r="D47" i="1"/>
  <c r="E47" i="1"/>
  <c r="F47" i="1"/>
  <c r="G47" i="1"/>
  <c r="H47" i="1"/>
  <c r="I47" i="1"/>
  <c r="J47" i="1"/>
  <c r="K47" i="1"/>
  <c r="L47" i="1"/>
  <c r="M47" i="1"/>
  <c r="N47" i="1"/>
  <c r="D48" i="1"/>
  <c r="E48" i="1"/>
  <c r="F48" i="1"/>
  <c r="G48" i="1"/>
  <c r="H48" i="1"/>
  <c r="I48" i="1"/>
  <c r="J48" i="1"/>
  <c r="K48" i="1"/>
  <c r="L48" i="1"/>
  <c r="M48" i="1"/>
  <c r="N48" i="1"/>
  <c r="D49" i="1"/>
  <c r="E49" i="1"/>
  <c r="F49" i="1"/>
  <c r="G49" i="1"/>
  <c r="H49" i="1"/>
  <c r="I49" i="1"/>
  <c r="J49" i="1"/>
  <c r="K49" i="1"/>
  <c r="L49" i="1"/>
  <c r="M49" i="1"/>
  <c r="N49" i="1"/>
  <c r="D51" i="1"/>
  <c r="E51" i="1"/>
  <c r="F51" i="1"/>
  <c r="G51" i="1"/>
  <c r="H51" i="1"/>
  <c r="I51" i="1"/>
  <c r="J51" i="1"/>
  <c r="K51" i="1"/>
  <c r="L51" i="1"/>
  <c r="M51" i="1"/>
  <c r="N51" i="1"/>
  <c r="D56" i="1"/>
  <c r="E56" i="1"/>
  <c r="F56" i="1"/>
  <c r="G56" i="1"/>
  <c r="H56" i="1"/>
  <c r="I56" i="1"/>
  <c r="J56" i="1"/>
  <c r="K56" i="1"/>
  <c r="L56" i="1"/>
  <c r="M56" i="1"/>
  <c r="N56" i="1"/>
  <c r="C56" i="1"/>
  <c r="C51" i="1"/>
  <c r="C49" i="1"/>
  <c r="C47" i="1"/>
  <c r="C48" i="1"/>
  <c r="C45" i="1"/>
  <c r="C44" i="1"/>
  <c r="C43" i="1"/>
  <c r="C42" i="1"/>
  <c r="D53" i="3"/>
  <c r="E53" i="3"/>
  <c r="F53" i="3"/>
  <c r="G53" i="3"/>
  <c r="H53" i="3"/>
  <c r="I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C53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C36" i="3"/>
  <c r="D36" i="3"/>
  <c r="E36" i="3"/>
  <c r="F36" i="3"/>
  <c r="G36" i="3"/>
  <c r="H36" i="3"/>
  <c r="I36" i="3"/>
  <c r="J36" i="3"/>
  <c r="C41" i="3"/>
  <c r="D41" i="3"/>
  <c r="E41" i="3"/>
  <c r="F41" i="3"/>
  <c r="G41" i="3"/>
  <c r="H41" i="3"/>
  <c r="I41" i="3"/>
  <c r="J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K41" i="3"/>
  <c r="K36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C29" i="3"/>
  <c r="C23" i="3"/>
  <c r="X8" i="3"/>
  <c r="X19" i="3" s="1"/>
  <c r="X21" i="3" s="1"/>
  <c r="Y8" i="3"/>
  <c r="Y19" i="3" s="1"/>
  <c r="Y21" i="3" s="1"/>
  <c r="D8" i="3"/>
  <c r="D19" i="3" s="1"/>
  <c r="D21" i="3" s="1"/>
  <c r="E8" i="3"/>
  <c r="E19" i="3" s="1"/>
  <c r="E21" i="3" s="1"/>
  <c r="F8" i="3"/>
  <c r="F19" i="3" s="1"/>
  <c r="F21" i="3" s="1"/>
  <c r="G8" i="3"/>
  <c r="G19" i="3" s="1"/>
  <c r="G21" i="3" s="1"/>
  <c r="H8" i="3"/>
  <c r="H19" i="3" s="1"/>
  <c r="H21" i="3" s="1"/>
  <c r="I8" i="3"/>
  <c r="I19" i="3" s="1"/>
  <c r="I21" i="3" s="1"/>
  <c r="J8" i="3"/>
  <c r="K8" i="3"/>
  <c r="K19" i="3" s="1"/>
  <c r="K21" i="3" s="1"/>
  <c r="L8" i="3"/>
  <c r="L19" i="3" s="1"/>
  <c r="L21" i="3" s="1"/>
  <c r="M8" i="3"/>
  <c r="M19" i="3" s="1"/>
  <c r="M21" i="3" s="1"/>
  <c r="N8" i="3"/>
  <c r="N19" i="3" s="1"/>
  <c r="N21" i="3" s="1"/>
  <c r="O8" i="3"/>
  <c r="O19" i="3" s="1"/>
  <c r="O21" i="3" s="1"/>
  <c r="P8" i="3"/>
  <c r="P19" i="3" s="1"/>
  <c r="P21" i="3" s="1"/>
  <c r="Q8" i="3"/>
  <c r="Q19" i="3" s="1"/>
  <c r="Q21" i="3" s="1"/>
  <c r="R8" i="3"/>
  <c r="R19" i="3" s="1"/>
  <c r="R21" i="3" s="1"/>
  <c r="S8" i="3"/>
  <c r="S19" i="3" s="1"/>
  <c r="S21" i="3" s="1"/>
  <c r="T8" i="3"/>
  <c r="T19" i="3" s="1"/>
  <c r="T21" i="3" s="1"/>
  <c r="U8" i="3"/>
  <c r="U19" i="3" s="1"/>
  <c r="U21" i="3" s="1"/>
  <c r="V8" i="3"/>
  <c r="V19" i="3" s="1"/>
  <c r="V21" i="3" s="1"/>
  <c r="W8" i="3"/>
  <c r="W19" i="3" s="1"/>
  <c r="W21" i="3" s="1"/>
  <c r="C8" i="3"/>
  <c r="C19" i="3" s="1"/>
  <c r="C21" i="3" s="1"/>
  <c r="K27" i="2"/>
  <c r="K64" i="2" s="1"/>
  <c r="N27" i="2"/>
  <c r="N64" i="2" s="1"/>
  <c r="O27" i="2"/>
  <c r="P27" i="2"/>
  <c r="Q27" i="2"/>
  <c r="R27" i="2"/>
  <c r="S27" i="2"/>
  <c r="T27" i="2"/>
  <c r="U27" i="2"/>
  <c r="V27" i="2"/>
  <c r="W27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C24" i="2"/>
  <c r="K16" i="2"/>
  <c r="K55" i="2" s="1"/>
  <c r="N16" i="2"/>
  <c r="N55" i="2" s="1"/>
  <c r="O16" i="2"/>
  <c r="P16" i="2"/>
  <c r="Q16" i="2"/>
  <c r="R16" i="2"/>
  <c r="S16" i="2"/>
  <c r="T16" i="2"/>
  <c r="U16" i="2"/>
  <c r="V16" i="2"/>
  <c r="W16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D13" i="2"/>
  <c r="E13" i="2"/>
  <c r="F13" i="2"/>
  <c r="G13" i="2"/>
  <c r="H13" i="2"/>
  <c r="I13" i="2"/>
  <c r="C13" i="2"/>
  <c r="Y6" i="2"/>
  <c r="X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D6" i="2"/>
  <c r="E6" i="2"/>
  <c r="F6" i="2"/>
  <c r="C6" i="2"/>
  <c r="X6" i="4"/>
  <c r="Y6" i="4"/>
  <c r="X15" i="4"/>
  <c r="Y15" i="4"/>
  <c r="C15" i="4"/>
  <c r="C42" i="4" s="1"/>
  <c r="D15" i="4"/>
  <c r="D42" i="4" s="1"/>
  <c r="E15" i="4"/>
  <c r="E42" i="4" s="1"/>
  <c r="F15" i="4"/>
  <c r="F42" i="4" s="1"/>
  <c r="G15" i="4"/>
  <c r="G42" i="4" s="1"/>
  <c r="H15" i="4"/>
  <c r="H42" i="4" s="1"/>
  <c r="I15" i="4"/>
  <c r="I42" i="4" s="1"/>
  <c r="J15" i="4"/>
  <c r="J42" i="4" s="1"/>
  <c r="K15" i="4"/>
  <c r="K42" i="4" s="1"/>
  <c r="L15" i="4"/>
  <c r="L42" i="4" s="1"/>
  <c r="M15" i="4"/>
  <c r="M42" i="4" s="1"/>
  <c r="N15" i="4"/>
  <c r="N42" i="4" s="1"/>
  <c r="O15" i="4"/>
  <c r="P15" i="4"/>
  <c r="Q15" i="4"/>
  <c r="R15" i="4"/>
  <c r="S15" i="4"/>
  <c r="T15" i="4"/>
  <c r="U15" i="4"/>
  <c r="V15" i="4"/>
  <c r="W1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1"/>
  <c r="X39" i="1" s="1"/>
  <c r="X41" i="1" s="1"/>
  <c r="X46" i="1" s="1"/>
  <c r="Y6" i="1"/>
  <c r="Y39" i="1" s="1"/>
  <c r="Y41" i="1" s="1"/>
  <c r="X10" i="1"/>
  <c r="Y10" i="1"/>
  <c r="D10" i="1"/>
  <c r="D40" i="1" s="1"/>
  <c r="E10" i="1"/>
  <c r="E40" i="1" s="1"/>
  <c r="F10" i="1"/>
  <c r="F40" i="1" s="1"/>
  <c r="G10" i="1"/>
  <c r="G40" i="1" s="1"/>
  <c r="H10" i="1"/>
  <c r="H40" i="1" s="1"/>
  <c r="I10" i="1"/>
  <c r="I40" i="1" s="1"/>
  <c r="J10" i="1"/>
  <c r="J40" i="1" s="1"/>
  <c r="K10" i="1"/>
  <c r="K40" i="1" s="1"/>
  <c r="L10" i="1"/>
  <c r="L40" i="1" s="1"/>
  <c r="M10" i="1"/>
  <c r="M40" i="1" s="1"/>
  <c r="N10" i="1"/>
  <c r="N40" i="1" s="1"/>
  <c r="O10" i="1"/>
  <c r="P10" i="1"/>
  <c r="Q10" i="1"/>
  <c r="R10" i="1"/>
  <c r="S10" i="1"/>
  <c r="T10" i="1"/>
  <c r="U10" i="1"/>
  <c r="V10" i="1"/>
  <c r="W10" i="1"/>
  <c r="C10" i="1"/>
  <c r="C40" i="1" s="1"/>
  <c r="D6" i="1"/>
  <c r="E6" i="1"/>
  <c r="F6" i="1"/>
  <c r="G6" i="1"/>
  <c r="H6" i="1"/>
  <c r="I6" i="1"/>
  <c r="J6" i="1"/>
  <c r="K6" i="1"/>
  <c r="K39" i="1" s="1"/>
  <c r="L6" i="1"/>
  <c r="M6" i="1"/>
  <c r="N6" i="1"/>
  <c r="O6" i="1"/>
  <c r="O39" i="1" s="1"/>
  <c r="O41" i="1" s="1"/>
  <c r="O46" i="1" s="1"/>
  <c r="P6" i="1"/>
  <c r="Q6" i="1"/>
  <c r="R6" i="1"/>
  <c r="S6" i="1"/>
  <c r="T6" i="1"/>
  <c r="U6" i="1"/>
  <c r="V6" i="1"/>
  <c r="W6" i="1"/>
  <c r="C6" i="1"/>
  <c r="C39" i="1" s="1"/>
  <c r="W36" i="2" l="1"/>
  <c r="T36" i="2"/>
  <c r="T24" i="4"/>
  <c r="L24" i="4"/>
  <c r="H24" i="4"/>
  <c r="D24" i="4"/>
  <c r="K51" i="3"/>
  <c r="H34" i="3"/>
  <c r="T51" i="3"/>
  <c r="P51" i="3"/>
  <c r="L51" i="3"/>
  <c r="W51" i="3"/>
  <c r="I51" i="3"/>
  <c r="E51" i="3"/>
  <c r="U34" i="3"/>
  <c r="Q34" i="3"/>
  <c r="M34" i="3"/>
  <c r="I34" i="3"/>
  <c r="E34" i="3"/>
  <c r="J19" i="3"/>
  <c r="J21" i="3" s="1"/>
  <c r="C34" i="3"/>
  <c r="T34" i="3"/>
  <c r="P34" i="3"/>
  <c r="L34" i="3"/>
  <c r="D34" i="3"/>
  <c r="G51" i="3"/>
  <c r="S51" i="3"/>
  <c r="O51" i="3"/>
  <c r="U51" i="3"/>
  <c r="M51" i="3"/>
  <c r="D51" i="3"/>
  <c r="W34" i="3"/>
  <c r="W52" i="3" s="1"/>
  <c r="S34" i="3"/>
  <c r="O34" i="3"/>
  <c r="K34" i="3"/>
  <c r="G34" i="3"/>
  <c r="V34" i="3"/>
  <c r="R34" i="3"/>
  <c r="N34" i="3"/>
  <c r="J34" i="3"/>
  <c r="F34" i="3"/>
  <c r="C51" i="3"/>
  <c r="Q51" i="3"/>
  <c r="H51" i="3"/>
  <c r="J51" i="3"/>
  <c r="F51" i="3"/>
  <c r="V51" i="3"/>
  <c r="R51" i="3"/>
  <c r="N51" i="3"/>
  <c r="Y51" i="3"/>
  <c r="U24" i="4"/>
  <c r="Q24" i="4"/>
  <c r="M24" i="4"/>
  <c r="I24" i="4"/>
  <c r="E24" i="4"/>
  <c r="C46" i="2"/>
  <c r="K46" i="2"/>
  <c r="I52" i="2"/>
  <c r="S36" i="2"/>
  <c r="O36" i="2"/>
  <c r="K36" i="2"/>
  <c r="F61" i="2"/>
  <c r="J61" i="2"/>
  <c r="N61" i="2"/>
  <c r="G36" i="2"/>
  <c r="D46" i="2"/>
  <c r="H46" i="2"/>
  <c r="L46" i="2"/>
  <c r="G46" i="2"/>
  <c r="E52" i="2"/>
  <c r="E46" i="2"/>
  <c r="I46" i="2"/>
  <c r="M46" i="2"/>
  <c r="D61" i="2"/>
  <c r="H61" i="2"/>
  <c r="L61" i="2"/>
  <c r="M52" i="2"/>
  <c r="M36" i="2"/>
  <c r="C36" i="2"/>
  <c r="P36" i="2"/>
  <c r="L36" i="2"/>
  <c r="H36" i="2"/>
  <c r="D36" i="2"/>
  <c r="D52" i="2"/>
  <c r="H52" i="2"/>
  <c r="L52" i="2"/>
  <c r="G61" i="2"/>
  <c r="K61" i="2"/>
  <c r="I36" i="2"/>
  <c r="U36" i="2"/>
  <c r="Q36" i="2"/>
  <c r="E36" i="2"/>
  <c r="V36" i="2"/>
  <c r="R36" i="2"/>
  <c r="N36" i="2"/>
  <c r="J36" i="2"/>
  <c r="F36" i="2"/>
  <c r="F46" i="2"/>
  <c r="J46" i="2"/>
  <c r="N46" i="2"/>
  <c r="F52" i="2"/>
  <c r="J52" i="2"/>
  <c r="N52" i="2"/>
  <c r="E61" i="2"/>
  <c r="I61" i="2"/>
  <c r="M61" i="2"/>
  <c r="O24" i="4"/>
  <c r="C24" i="4"/>
  <c r="G35" i="4"/>
  <c r="K35" i="4"/>
  <c r="W24" i="4"/>
  <c r="S24" i="4"/>
  <c r="K24" i="4"/>
  <c r="G24" i="4"/>
  <c r="D35" i="4"/>
  <c r="H35" i="4"/>
  <c r="L35" i="4"/>
  <c r="F35" i="4"/>
  <c r="J35" i="4"/>
  <c r="N35" i="4"/>
  <c r="Y24" i="4"/>
  <c r="V24" i="4"/>
  <c r="R24" i="4"/>
  <c r="N24" i="4"/>
  <c r="J24" i="4"/>
  <c r="F24" i="4"/>
  <c r="X24" i="4"/>
  <c r="C35" i="4"/>
  <c r="C43" i="4" s="1"/>
  <c r="E35" i="4"/>
  <c r="I35" i="4"/>
  <c r="M35" i="4"/>
  <c r="W13" i="1"/>
  <c r="W20" i="1" s="1"/>
  <c r="W24" i="1" s="1"/>
  <c r="W26" i="1" s="1"/>
  <c r="W28" i="1" s="1"/>
  <c r="S13" i="1"/>
  <c r="S20" i="1" s="1"/>
  <c r="S24" i="1" s="1"/>
  <c r="S26" i="1" s="1"/>
  <c r="S28" i="1" s="1"/>
  <c r="K41" i="1"/>
  <c r="K46" i="1" s="1"/>
  <c r="K50" i="1" s="1"/>
  <c r="K52" i="1" s="1"/>
  <c r="K54" i="1" s="1"/>
  <c r="G13" i="1"/>
  <c r="G20" i="1" s="1"/>
  <c r="G24" i="1" s="1"/>
  <c r="G26" i="1" s="1"/>
  <c r="G28" i="1" s="1"/>
  <c r="U13" i="1"/>
  <c r="U20" i="1" s="1"/>
  <c r="U24" i="1" s="1"/>
  <c r="U26" i="1" s="1"/>
  <c r="U28" i="1" s="1"/>
  <c r="Q13" i="1"/>
  <c r="Q20" i="1" s="1"/>
  <c r="Q24" i="1" s="1"/>
  <c r="Q26" i="1" s="1"/>
  <c r="Q28" i="1" s="1"/>
  <c r="M13" i="1"/>
  <c r="M20" i="1" s="1"/>
  <c r="M24" i="1" s="1"/>
  <c r="M26" i="1" s="1"/>
  <c r="M28" i="1" s="1"/>
  <c r="I13" i="1"/>
  <c r="I20" i="1" s="1"/>
  <c r="I24" i="1" s="1"/>
  <c r="I26" i="1" s="1"/>
  <c r="I28" i="1" s="1"/>
  <c r="E13" i="1"/>
  <c r="E20" i="1" s="1"/>
  <c r="E24" i="1" s="1"/>
  <c r="E26" i="1" s="1"/>
  <c r="E28" i="1" s="1"/>
  <c r="Q39" i="1"/>
  <c r="Q41" i="1" s="1"/>
  <c r="Q46" i="1" s="1"/>
  <c r="C41" i="1"/>
  <c r="C46" i="1" s="1"/>
  <c r="C50" i="1" s="1"/>
  <c r="C52" i="1" s="1"/>
  <c r="C54" i="1" s="1"/>
  <c r="I39" i="1"/>
  <c r="I41" i="1" s="1"/>
  <c r="I46" i="1" s="1"/>
  <c r="V13" i="1"/>
  <c r="V20" i="1" s="1"/>
  <c r="V24" i="1" s="1"/>
  <c r="V26" i="1" s="1"/>
  <c r="V28" i="1" s="1"/>
  <c r="R13" i="1"/>
  <c r="R20" i="1" s="1"/>
  <c r="R24" i="1" s="1"/>
  <c r="R26" i="1" s="1"/>
  <c r="R28" i="1" s="1"/>
  <c r="N13" i="1"/>
  <c r="N20" i="1" s="1"/>
  <c r="N24" i="1" s="1"/>
  <c r="N26" i="1" s="1"/>
  <c r="N28" i="1" s="1"/>
  <c r="J13" i="1"/>
  <c r="J20" i="1" s="1"/>
  <c r="J24" i="1" s="1"/>
  <c r="J26" i="1" s="1"/>
  <c r="J28" i="1" s="1"/>
  <c r="F13" i="1"/>
  <c r="F20" i="1" s="1"/>
  <c r="F24" i="1" s="1"/>
  <c r="F26" i="1" s="1"/>
  <c r="F28" i="1" s="1"/>
  <c r="N39" i="1"/>
  <c r="N41" i="1" s="1"/>
  <c r="N46" i="1" s="1"/>
  <c r="F39" i="1"/>
  <c r="F41" i="1" s="1"/>
  <c r="F46" i="1" s="1"/>
  <c r="U39" i="1"/>
  <c r="U41" i="1" s="1"/>
  <c r="U46" i="1" s="1"/>
  <c r="M39" i="1"/>
  <c r="M41" i="1" s="1"/>
  <c r="M46" i="1" s="1"/>
  <c r="E39" i="1"/>
  <c r="E41" i="1" s="1"/>
  <c r="E46" i="1" s="1"/>
  <c r="V39" i="1"/>
  <c r="V41" i="1" s="1"/>
  <c r="V46" i="1" s="1"/>
  <c r="V58" i="1" s="1"/>
  <c r="R39" i="1"/>
  <c r="R41" i="1" s="1"/>
  <c r="R46" i="1" s="1"/>
  <c r="J39" i="1"/>
  <c r="J41" i="1" s="1"/>
  <c r="J46" i="1" s="1"/>
  <c r="Y34" i="3"/>
  <c r="Y36" i="2"/>
  <c r="X51" i="3"/>
  <c r="X34" i="3"/>
  <c r="X36" i="2"/>
  <c r="K13" i="1"/>
  <c r="K20" i="1" s="1"/>
  <c r="K24" i="1" s="1"/>
  <c r="K26" i="1" s="1"/>
  <c r="K28" i="1" s="1"/>
  <c r="C13" i="1"/>
  <c r="C20" i="1" s="1"/>
  <c r="C24" i="1" s="1"/>
  <c r="C26" i="1" s="1"/>
  <c r="C28" i="1" s="1"/>
  <c r="T13" i="1"/>
  <c r="T20" i="1" s="1"/>
  <c r="T24" i="1" s="1"/>
  <c r="T26" i="1" s="1"/>
  <c r="T28" i="1" s="1"/>
  <c r="P13" i="1"/>
  <c r="P20" i="1" s="1"/>
  <c r="P24" i="1" s="1"/>
  <c r="P26" i="1" s="1"/>
  <c r="P28" i="1" s="1"/>
  <c r="L13" i="1"/>
  <c r="L20" i="1" s="1"/>
  <c r="L24" i="1" s="1"/>
  <c r="L26" i="1" s="1"/>
  <c r="L28" i="1" s="1"/>
  <c r="H13" i="1"/>
  <c r="H20" i="1" s="1"/>
  <c r="H24" i="1" s="1"/>
  <c r="H26" i="1" s="1"/>
  <c r="H28" i="1" s="1"/>
  <c r="D13" i="1"/>
  <c r="D20" i="1" s="1"/>
  <c r="D24" i="1" s="1"/>
  <c r="D26" i="1" s="1"/>
  <c r="D28" i="1" s="1"/>
  <c r="O13" i="1"/>
  <c r="O20" i="1" s="1"/>
  <c r="O24" i="1" s="1"/>
  <c r="O26" i="1" s="1"/>
  <c r="O28" i="1" s="1"/>
  <c r="X13" i="1"/>
  <c r="X20" i="1" s="1"/>
  <c r="X24" i="1" s="1"/>
  <c r="X26" i="1" s="1"/>
  <c r="X28" i="1" s="1"/>
  <c r="W39" i="1"/>
  <c r="W41" i="1" s="1"/>
  <c r="W46" i="1" s="1"/>
  <c r="W50" i="1" s="1"/>
  <c r="W52" i="1" s="1"/>
  <c r="W54" i="1" s="1"/>
  <c r="S39" i="1"/>
  <c r="S41" i="1" s="1"/>
  <c r="S46" i="1" s="1"/>
  <c r="S58" i="1" s="1"/>
  <c r="G39" i="1"/>
  <c r="G41" i="1" s="1"/>
  <c r="G46" i="1" s="1"/>
  <c r="Y13" i="1"/>
  <c r="Y20" i="1" s="1"/>
  <c r="Y24" i="1" s="1"/>
  <c r="Y26" i="1" s="1"/>
  <c r="Y28" i="1" s="1"/>
  <c r="T39" i="1"/>
  <c r="T41" i="1" s="1"/>
  <c r="T46" i="1" s="1"/>
  <c r="T58" i="1" s="1"/>
  <c r="P39" i="1"/>
  <c r="P41" i="1" s="1"/>
  <c r="P46" i="1" s="1"/>
  <c r="P50" i="1" s="1"/>
  <c r="P52" i="1" s="1"/>
  <c r="P54" i="1" s="1"/>
  <c r="L39" i="1"/>
  <c r="L41" i="1" s="1"/>
  <c r="L46" i="1" s="1"/>
  <c r="L58" i="1" s="1"/>
  <c r="H39" i="1"/>
  <c r="H41" i="1" s="1"/>
  <c r="H46" i="1" s="1"/>
  <c r="H57" i="1" s="1"/>
  <c r="D39" i="1"/>
  <c r="D41" i="1" s="1"/>
  <c r="D46" i="1" s="1"/>
  <c r="D58" i="1" s="1"/>
  <c r="Q71" i="2"/>
  <c r="K52" i="2"/>
  <c r="G52" i="2"/>
  <c r="X71" i="2"/>
  <c r="Y71" i="2"/>
  <c r="P71" i="2"/>
  <c r="T71" i="2"/>
  <c r="U71" i="2"/>
  <c r="R71" i="2"/>
  <c r="O71" i="2"/>
  <c r="S71" i="2"/>
  <c r="W71" i="2"/>
  <c r="V71" i="2"/>
  <c r="C61" i="2"/>
  <c r="C52" i="2"/>
  <c r="P24" i="4"/>
  <c r="O58" i="1"/>
  <c r="O57" i="1"/>
  <c r="O50" i="1"/>
  <c r="O52" i="1" s="1"/>
  <c r="O54" i="1" s="1"/>
  <c r="X58" i="1"/>
  <c r="X50" i="1"/>
  <c r="X52" i="1" s="1"/>
  <c r="X54" i="1" s="1"/>
  <c r="X57" i="1"/>
  <c r="Y46" i="1"/>
  <c r="G38" i="1"/>
  <c r="T37" i="2" l="1"/>
  <c r="W37" i="2"/>
  <c r="K52" i="3"/>
  <c r="L37" i="2"/>
  <c r="T52" i="3"/>
  <c r="R52" i="3"/>
  <c r="N37" i="2"/>
  <c r="Y37" i="2"/>
  <c r="H37" i="2"/>
  <c r="M37" i="2"/>
  <c r="X37" i="2"/>
  <c r="U37" i="2"/>
  <c r="D37" i="2"/>
  <c r="C58" i="1"/>
  <c r="Q52" i="3"/>
  <c r="P52" i="3"/>
  <c r="E52" i="3"/>
  <c r="H52" i="3"/>
  <c r="L52" i="3"/>
  <c r="N52" i="3"/>
  <c r="C52" i="3"/>
  <c r="D52" i="3"/>
  <c r="M52" i="3"/>
  <c r="I52" i="3"/>
  <c r="F52" i="3"/>
  <c r="O52" i="3"/>
  <c r="S52" i="3"/>
  <c r="U52" i="3"/>
  <c r="V52" i="3"/>
  <c r="G52" i="3"/>
  <c r="J52" i="3"/>
  <c r="J56" i="3" s="1"/>
  <c r="J53" i="3" s="1"/>
  <c r="X52" i="3"/>
  <c r="Y52" i="3"/>
  <c r="O37" i="2"/>
  <c r="N71" i="2"/>
  <c r="J37" i="2"/>
  <c r="I71" i="2"/>
  <c r="F71" i="2"/>
  <c r="R37" i="2"/>
  <c r="D71" i="2"/>
  <c r="J71" i="2"/>
  <c r="E37" i="2"/>
  <c r="Q37" i="2"/>
  <c r="C37" i="2"/>
  <c r="I37" i="2"/>
  <c r="K37" i="2"/>
  <c r="H71" i="2"/>
  <c r="S37" i="2"/>
  <c r="E71" i="2"/>
  <c r="L71" i="2"/>
  <c r="G71" i="2"/>
  <c r="P37" i="2"/>
  <c r="K71" i="2"/>
  <c r="G37" i="2"/>
  <c r="M71" i="2"/>
  <c r="F37" i="2"/>
  <c r="V37" i="2"/>
  <c r="K57" i="1"/>
  <c r="C57" i="1"/>
  <c r="W58" i="1"/>
  <c r="V50" i="1"/>
  <c r="V52" i="1" s="1"/>
  <c r="V54" i="1" s="1"/>
  <c r="P58" i="1"/>
  <c r="W57" i="1"/>
  <c r="K58" i="1"/>
  <c r="V57" i="1"/>
  <c r="P57" i="1"/>
  <c r="T50" i="1"/>
  <c r="T52" i="1" s="1"/>
  <c r="T54" i="1" s="1"/>
  <c r="T57" i="1"/>
  <c r="H58" i="1"/>
  <c r="S50" i="1"/>
  <c r="S52" i="1" s="1"/>
  <c r="S54" i="1" s="1"/>
  <c r="S57" i="1"/>
  <c r="G58" i="1"/>
  <c r="G57" i="1"/>
  <c r="G50" i="1"/>
  <c r="G52" i="1" s="1"/>
  <c r="G54" i="1" s="1"/>
  <c r="H50" i="1"/>
  <c r="H52" i="1" s="1"/>
  <c r="H54" i="1" s="1"/>
  <c r="D57" i="1"/>
  <c r="D50" i="1"/>
  <c r="D52" i="1" s="1"/>
  <c r="D54" i="1" s="1"/>
  <c r="L50" i="1"/>
  <c r="L52" i="1" s="1"/>
  <c r="L54" i="1" s="1"/>
  <c r="L57" i="1"/>
  <c r="C71" i="2"/>
  <c r="M50" i="1"/>
  <c r="M52" i="1" s="1"/>
  <c r="M54" i="1" s="1"/>
  <c r="M57" i="1"/>
  <c r="M58" i="1"/>
  <c r="F57" i="1"/>
  <c r="F50" i="1"/>
  <c r="F52" i="1" s="1"/>
  <c r="F54" i="1" s="1"/>
  <c r="F58" i="1"/>
  <c r="Q50" i="1"/>
  <c r="Q52" i="1" s="1"/>
  <c r="Q54" i="1" s="1"/>
  <c r="Q58" i="1"/>
  <c r="Q57" i="1"/>
  <c r="J57" i="1"/>
  <c r="J50" i="1"/>
  <c r="J52" i="1" s="1"/>
  <c r="J54" i="1" s="1"/>
  <c r="J58" i="1"/>
  <c r="E50" i="1"/>
  <c r="E52" i="1" s="1"/>
  <c r="E54" i="1" s="1"/>
  <c r="E57" i="1"/>
  <c r="E58" i="1"/>
  <c r="U50" i="1"/>
  <c r="U52" i="1" s="1"/>
  <c r="U54" i="1" s="1"/>
  <c r="U57" i="1"/>
  <c r="U58" i="1"/>
  <c r="N57" i="1"/>
  <c r="N50" i="1"/>
  <c r="N52" i="1" s="1"/>
  <c r="N54" i="1" s="1"/>
  <c r="N58" i="1"/>
  <c r="I50" i="1"/>
  <c r="I52" i="1" s="1"/>
  <c r="I54" i="1" s="1"/>
  <c r="I58" i="1"/>
  <c r="I57" i="1"/>
  <c r="Y50" i="1"/>
  <c r="Y52" i="1" s="1"/>
  <c r="Y54" i="1" s="1"/>
  <c r="Y58" i="1"/>
  <c r="Y57" i="1"/>
  <c r="R57" i="1"/>
  <c r="R50" i="1"/>
  <c r="R52" i="1" s="1"/>
  <c r="R54" i="1" s="1"/>
  <c r="R58" i="1"/>
  <c r="R43" i="4"/>
  <c r="J43" i="4"/>
  <c r="Y43" i="4"/>
  <c r="I43" i="4"/>
  <c r="S43" i="4"/>
  <c r="K43" i="4"/>
  <c r="X43" i="4"/>
  <c r="H43" i="4"/>
  <c r="L43" i="4"/>
  <c r="U43" i="4"/>
  <c r="V43" i="4"/>
  <c r="N43" i="4"/>
  <c r="F43" i="4"/>
  <c r="Q43" i="4"/>
  <c r="W43" i="4"/>
  <c r="O43" i="4"/>
  <c r="G43" i="4"/>
  <c r="P43" i="4"/>
  <c r="T43" i="4"/>
  <c r="D43" i="4"/>
  <c r="M43" i="4"/>
  <c r="E43" i="4"/>
</calcChain>
</file>

<file path=xl/sharedStrings.xml><?xml version="1.0" encoding="utf-8"?>
<sst xmlns="http://schemas.openxmlformats.org/spreadsheetml/2006/main" count="808" uniqueCount="225">
  <si>
    <t>Przychody ze sprzedaży</t>
  </si>
  <si>
    <t>Przychody ze sprzedaży produktów</t>
  </si>
  <si>
    <t>Przychody ze sprzedaży usług</t>
  </si>
  <si>
    <t>Przychody ze sprzedaży towarów i materiałów</t>
  </si>
  <si>
    <t>Koszty sprzedanych produktów, towarów i materiałów</t>
  </si>
  <si>
    <t>Koszty wytworzenia sprzedanych produktów i usług</t>
  </si>
  <si>
    <t>Wartość sprzedanych towarów i materiałów</t>
  </si>
  <si>
    <t>Zysk  (strata) brutto na sprzedaży</t>
  </si>
  <si>
    <t>Różnica z tytułu przekazania aktywów niegotówkowych właścicielom</t>
  </si>
  <si>
    <t>Pozostałe przychody operacyjne</t>
  </si>
  <si>
    <t>Koszty sprzedaży</t>
  </si>
  <si>
    <t>Koszty ogólnego zarządu</t>
  </si>
  <si>
    <t>Nakłady na prace badawcze i rozwojowe</t>
  </si>
  <si>
    <t>Pozostałe koszty operacyjne</t>
  </si>
  <si>
    <t>Zysk (strata) na działalności operacyjnej</t>
  </si>
  <si>
    <t>Przychody finansowe</t>
  </si>
  <si>
    <t>Koszty finansowe</t>
  </si>
  <si>
    <t>Udział w zyskach netto jednostek wycenianych metodą praw własności</t>
  </si>
  <si>
    <t>Zysk (strata) przed opodatkowaniem</t>
  </si>
  <si>
    <t>Podatek dochodowy</t>
  </si>
  <si>
    <t>Zysk (strata) netto z działalności kontynuowanej</t>
  </si>
  <si>
    <t>Zysk (strata) z działalności zaniechanej</t>
  </si>
  <si>
    <t>Zysk (strata) netto</t>
  </si>
  <si>
    <t>AKTYWA</t>
  </si>
  <si>
    <t>Aktywa trwałe</t>
  </si>
  <si>
    <t>Rzeczowe aktywa trwałe</t>
  </si>
  <si>
    <t xml:space="preserve">Wartości niematerialne </t>
  </si>
  <si>
    <t>Inwestycje w jednostkach podporządkowanych</t>
  </si>
  <si>
    <t>Pozostałe aktywa finansowe</t>
  </si>
  <si>
    <t>Aktywa z tytułu odroczonego podatku dochodowego</t>
  </si>
  <si>
    <t>Pozostałe aktywa trwałe</t>
  </si>
  <si>
    <t>Aktywa obrotowe</t>
  </si>
  <si>
    <t>Zapasy</t>
  </si>
  <si>
    <t>Należności handlowe</t>
  </si>
  <si>
    <t>Należności z tytułu bieżącego podatku dochodowego</t>
  </si>
  <si>
    <t xml:space="preserve">Pozostałe należności </t>
  </si>
  <si>
    <t>Rozliczenia międzyokresowe</t>
  </si>
  <si>
    <t>Środki pieniężne i ich ekwiwalenty</t>
  </si>
  <si>
    <t>AKTYWA  RAZEM</t>
  </si>
  <si>
    <t>PASYWA</t>
  </si>
  <si>
    <t>Kapitał własny</t>
  </si>
  <si>
    <t>Kapitał zakładowy</t>
  </si>
  <si>
    <t>Kapitał zapasowy ze sprzedaży akcji powyżej ceny nominalnej</t>
  </si>
  <si>
    <t>Akcje własne</t>
  </si>
  <si>
    <t>Pozostałe kapitały</t>
  </si>
  <si>
    <t>Niepodzielony wynik finansowy</t>
  </si>
  <si>
    <t>Wynik finansowy bieżącego okresu</t>
  </si>
  <si>
    <t>Zobowiązanie długoterminowe</t>
  </si>
  <si>
    <t>Kredyty i pożyczki</t>
  </si>
  <si>
    <t>- w tym pożyczki od jednostek powiązanych</t>
  </si>
  <si>
    <t>- w tym pożyczki i kredyty od jednostek pozostałych</t>
  </si>
  <si>
    <t>Inne zobowiązania długoterminowe</t>
  </si>
  <si>
    <t>Rezerwy z tytułu odroczonego podatku dochodowego</t>
  </si>
  <si>
    <t>Rozliczenia międzyokresowe przychodów</t>
  </si>
  <si>
    <t>Rezerwa na świadczenia emerytalne i podobne</t>
  </si>
  <si>
    <t>Pozostałe rezerwy</t>
  </si>
  <si>
    <t>Zobowiązania krótkoterminowe</t>
  </si>
  <si>
    <t>Pozostałe zobowiązania finansowe</t>
  </si>
  <si>
    <t>Zobowiązania handlowe</t>
  </si>
  <si>
    <t>Zobowiązania z tytułu bieżącego podatku dochodowego</t>
  </si>
  <si>
    <t>Pozostałe zobowiązania</t>
  </si>
  <si>
    <t>PASYWA  RAZEM</t>
  </si>
  <si>
    <t>DZIAŁALNOŚĆ OPERACYJNA</t>
  </si>
  <si>
    <t>Zysk / Strata przed opodatkowaniem</t>
  </si>
  <si>
    <t>Korekty razem:</t>
  </si>
  <si>
    <t>Amortyzacja</t>
  </si>
  <si>
    <t>Zyski (straty) z tytułu różnic kursowych</t>
  </si>
  <si>
    <t>Odsetki i udziały w zyskach (dywidendy)</t>
  </si>
  <si>
    <t>Zysk (strata) z działalności inwestycyjnej</t>
  </si>
  <si>
    <t>Zmiana stanu rezerw</t>
  </si>
  <si>
    <t>Zmiana stanu zapasów</t>
  </si>
  <si>
    <t>Zmiana stanu należności</t>
  </si>
  <si>
    <t>Zmiana stanu zobowiązań, z wyjątkiem pożyczek i kredytów</t>
  </si>
  <si>
    <t>Zmiana stanu pozostałych aktywów</t>
  </si>
  <si>
    <t>Inne korekty</t>
  </si>
  <si>
    <t>Gotówka z działalności operacyjnej</t>
  </si>
  <si>
    <t>Podatek dochodowy (zapłacony) / zwrócony</t>
  </si>
  <si>
    <t>A. Przepływy pieniężne netto z działalności operacyjnej</t>
  </si>
  <si>
    <t>DZIAŁALNOŚĆ INWESTYCYJNA</t>
  </si>
  <si>
    <t>Wpływy</t>
  </si>
  <si>
    <t>Zbycie wartości niematerialnych oraz rzeczowych aktywów trwałych</t>
  </si>
  <si>
    <t>Zbycie inwestycji w nieruchomości</t>
  </si>
  <si>
    <t>Zbycie aktywów finansowych</t>
  </si>
  <si>
    <t>Inne wpływy inwestycyjne</t>
  </si>
  <si>
    <t>Spłata udzielonych pożyczek długoterminowych</t>
  </si>
  <si>
    <t>Wydatki</t>
  </si>
  <si>
    <t>Nabycie wartości niematerialnych oraz rzeczowych akywów trwałych</t>
  </si>
  <si>
    <t>Nabycie inwestycji w nieruchomości</t>
  </si>
  <si>
    <t>Wydatki na aktywa finansowe</t>
  </si>
  <si>
    <t>Inne wydatki inwestycyjne</t>
  </si>
  <si>
    <t>B. Przepływy pieniężne netto z działalności inwestycyjnej</t>
  </si>
  <si>
    <t>DZIAŁALNOŚĆ FINANSOWA</t>
  </si>
  <si>
    <t>Wpływy netto z wydania udziałów (emisji akcji) i innych instrumentów kapitałowych oraz dopłat do kapitału</t>
  </si>
  <si>
    <t>Emisja dłużnych papierów wartościowych</t>
  </si>
  <si>
    <t>Inne wpływy finansowe</t>
  </si>
  <si>
    <t>Nabycie udziałów (akcji) własnych</t>
  </si>
  <si>
    <t>Dywidendy i inne wpłaty na rzecz właścicieli</t>
  </si>
  <si>
    <t xml:space="preserve">Inne, niż wpłaty na rzecz właścicieli, wydatki z tytułu podziału zysku </t>
  </si>
  <si>
    <t>Spłaty kredytów i pożyczek</t>
  </si>
  <si>
    <t>Wykup dłużnych papierów wartościowych</t>
  </si>
  <si>
    <t>Z tytułu innych zobowiązań finansowych</t>
  </si>
  <si>
    <t xml:space="preserve">Płatności zobowiązań z tytułu umów leasingu </t>
  </si>
  <si>
    <t xml:space="preserve">Odsetki </t>
  </si>
  <si>
    <t>Inne wydatki finansowe</t>
  </si>
  <si>
    <t>C. Przepływy pieniężne netto z działalności finansowej</t>
  </si>
  <si>
    <t>D. Przepływy pieniężne netto razem</t>
  </si>
  <si>
    <t>E. Bilansowa zmiana stanu środków pieniężnych, w tym</t>
  </si>
  <si>
    <t>- zmiana stanu środków pieniężnych z tytułu różnic kursowych</t>
  </si>
  <si>
    <t>F. Środki pieniężne na początek okresu</t>
  </si>
  <si>
    <t>G. Środki pieniężne na koniec okresu</t>
  </si>
  <si>
    <t>za okres 01.01.2021 - 31.03.2021</t>
  </si>
  <si>
    <t>za okres 01.01.2020 - 31.03.2020</t>
  </si>
  <si>
    <t>stan na 31.03.2021 r.</t>
  </si>
  <si>
    <t>stan na 31.12.2020 r.</t>
  </si>
  <si>
    <t>stan na 31.03.2020 r.</t>
  </si>
  <si>
    <t>1Q</t>
  </si>
  <si>
    <t>2Q</t>
  </si>
  <si>
    <t>3Q</t>
  </si>
  <si>
    <t>4Q</t>
  </si>
  <si>
    <t>za okres 01.01.2019 - 31.03.2019</t>
  </si>
  <si>
    <t>stan na 31.12.2019 r.</t>
  </si>
  <si>
    <t>stan na 31.03.2019 r.</t>
  </si>
  <si>
    <t>za okres 01.01.2018 - 31.03.2018</t>
  </si>
  <si>
    <t>stan na 31.12.2018 r.</t>
  </si>
  <si>
    <t>stan na 31.03.2018 r.</t>
  </si>
  <si>
    <t>stan na 31.12.2017 r.</t>
  </si>
  <si>
    <t>stan na 31.03.2017 r.</t>
  </si>
  <si>
    <t>za okres 01.01.2016 - 31.03.2016</t>
  </si>
  <si>
    <t>stan na 31.12.2016 r.</t>
  </si>
  <si>
    <t>stan na 31.03.2016 r.</t>
  </si>
  <si>
    <t>za okres 01.01.2020 - 30.06.2020</t>
  </si>
  <si>
    <t>za okres 01.01.2019 - 30.06.2019</t>
  </si>
  <si>
    <t>stan na 30.06.2020 r.</t>
  </si>
  <si>
    <t>stan na 30.06.2019 r.</t>
  </si>
  <si>
    <t>za okres 01.01.2018 - 30.06.2018</t>
  </si>
  <si>
    <t>stan na 30.06.2018 r.</t>
  </si>
  <si>
    <t>za okres 01.01.2017 - 30.06.2017</t>
  </si>
  <si>
    <t>stan na 30.06.2017 r.</t>
  </si>
  <si>
    <t>za okres 01.01.2016 - 30.06.2016</t>
  </si>
  <si>
    <t>stan na 30.06.2016 r.</t>
  </si>
  <si>
    <t>za okres 01.01.2020 - 30.09.2020</t>
  </si>
  <si>
    <t>za okres 01.01.2019 - 30.09.2019</t>
  </si>
  <si>
    <t>stan na 30.09.2020 r.</t>
  </si>
  <si>
    <t>za okres 01.01.2018 - 30.09.2018</t>
  </si>
  <si>
    <t>za okres 01.01.2017 - 30.09.2017</t>
  </si>
  <si>
    <t>stan na 30.09.2018 r.</t>
  </si>
  <si>
    <t>za okres 01.01.2016 - 30.09.2016</t>
  </si>
  <si>
    <t>stan na 30.09.2017 r.</t>
  </si>
  <si>
    <t>stan na 30.09.2016 r.</t>
  </si>
  <si>
    <t>za okres 01.01.2020 - 31.12.2020</t>
  </si>
  <si>
    <t>za okres 01.01.2019 - 31.12.2019</t>
  </si>
  <si>
    <t>za okres 01.01.2018 - 31.12.2018</t>
  </si>
  <si>
    <t>za okres 01.01.2017 - 31.12.2017</t>
  </si>
  <si>
    <t>za okres 01.01.2016 - 31.12.2016</t>
  </si>
  <si>
    <t>stan na 30.09.2019 r.</t>
  </si>
  <si>
    <t>za okres 01.01.2021 - 31.12.2021</t>
  </si>
  <si>
    <t>za okres 01.01.2021 - 30.06.2021</t>
  </si>
  <si>
    <t>za okres 01.01.2021 - 30.09.2021</t>
  </si>
  <si>
    <t>dane w tys PLN</t>
  </si>
  <si>
    <t>Rachunek Zysków i Strat</t>
  </si>
  <si>
    <t>Spółki ENEL-MED. S.A.</t>
  </si>
  <si>
    <t>Rachunek Przepływów Pieniężnych</t>
  </si>
  <si>
    <t>stan na 30.06.2021 r.</t>
  </si>
  <si>
    <t>stan na 30.03.2021 r.</t>
  </si>
  <si>
    <t>stan na 31.12.2021 r.</t>
  </si>
  <si>
    <t>stan na 30.09.2021 r.</t>
  </si>
  <si>
    <t>dane wg MSSF 16 od 1.01.2019 r</t>
  </si>
  <si>
    <t>Aktywa z tytułu prawa do użytkowania</t>
  </si>
  <si>
    <r>
      <t xml:space="preserve">dane </t>
    </r>
    <r>
      <rPr>
        <b/>
        <u/>
        <sz val="8"/>
        <color rgb="FF0062AC"/>
        <rFont val="Arial"/>
        <family val="2"/>
        <charset val="238"/>
      </rPr>
      <t>bez wpływu MSSF 16</t>
    </r>
  </si>
  <si>
    <t>EBITDA*</t>
  </si>
  <si>
    <t>EBITDA skorygowana**</t>
  </si>
  <si>
    <t>* EBITDA = Zysk (strata) na działalności operacyjnej + Amortyzacja</t>
  </si>
  <si>
    <t>** EBITDA skorygowana = EBITDA - Pozostałe przychody operacyjne + Pozostałe koszty operacyjne</t>
  </si>
  <si>
    <t xml:space="preserve">    - w tym pożyczki od jednostek powiązanych</t>
  </si>
  <si>
    <t xml:space="preserve">    - w tym pożyczki i kredyty od jednostek pozostałych</t>
  </si>
  <si>
    <t>Zobowiązania leasingowe</t>
  </si>
  <si>
    <t>-</t>
  </si>
  <si>
    <r>
      <t xml:space="preserve">dane </t>
    </r>
    <r>
      <rPr>
        <b/>
        <u/>
        <sz val="8"/>
        <color rgb="FF0062AC"/>
        <rFont val="Arial"/>
        <family val="2"/>
        <charset val="238"/>
      </rPr>
      <t>wg MSSF 16</t>
    </r>
    <r>
      <rPr>
        <b/>
        <sz val="8"/>
        <color rgb="FF0062AC"/>
        <rFont val="Arial"/>
        <family val="2"/>
        <charset val="238"/>
      </rPr>
      <t xml:space="preserve"> od 1.01.2019 r *</t>
    </r>
  </si>
  <si>
    <t>Działalność kontynuowana</t>
  </si>
  <si>
    <t>Koszt własny sprzedaży</t>
  </si>
  <si>
    <t>2021**</t>
  </si>
  <si>
    <t>Aktywa z tytułu prawa do użytkowania*</t>
  </si>
  <si>
    <t>Wartość firmy</t>
  </si>
  <si>
    <t>Długoterminowe przedpłaty i długoterminowe rozliczenia międzyokresowe czynne</t>
  </si>
  <si>
    <t>Należności z tytułu dostaw i usług oraz pozostałe należności krótkoterminowe</t>
  </si>
  <si>
    <t>Kapitał zapasowy z emisji akcji powyżej wartości nominalnej</t>
  </si>
  <si>
    <t>Zyski zatrzymane</t>
  </si>
  <si>
    <t>Zobowiązania leasingowe*</t>
  </si>
  <si>
    <t>Zobowiązania z tytułu dostaw i usług oraz inne zobowiązania długoterminowe</t>
  </si>
  <si>
    <t>Zobowiązania z tytułu dostaw i usług oraz pozostałe zobowiązania krótkoterminowe</t>
  </si>
  <si>
    <t>Zobowiązania razem</t>
  </si>
  <si>
    <t>Korekty z tytułu przychodów (kosztów) finansowych</t>
  </si>
  <si>
    <t>Zbycie wartości niematerialnych, rzeczowych aktywów trwałych oraz nieruchomości inwestycyjnych</t>
  </si>
  <si>
    <t>Nabycie wartości niematerialnych, rzeczowych aktywów trwałych oraz nieruchomości inwestycyjnych</t>
  </si>
  <si>
    <t>Płatności zobowiązań z tytułu umów leasingu finansowego</t>
  </si>
  <si>
    <t>stan na 31.03.2022 r.</t>
  </si>
  <si>
    <t>za okres 01.01.2022 - 31.03.2022</t>
  </si>
  <si>
    <t>za okres 01.01.2021 - 31.12.2020</t>
  </si>
  <si>
    <t>za okres 01.01.2022 - 30.06.2022</t>
  </si>
  <si>
    <t>stan na 30.06.2022 r.</t>
  </si>
  <si>
    <t>stan na 30.09.2022 r.</t>
  </si>
  <si>
    <t>Nabycie aktywów finansowych w jednostkach powiązanych</t>
  </si>
  <si>
    <t>za okres 01.01.2022 - 30.09.2022</t>
  </si>
  <si>
    <t>za okres 01.01.2022 - 31.12.2022</t>
  </si>
  <si>
    <t>za okres 01.01.2023 - 31.03.2023</t>
  </si>
  <si>
    <t>stan na 31.12.2022 r.</t>
  </si>
  <si>
    <t>stan na 31.03.2023 r.</t>
  </si>
  <si>
    <t>za okres 01.01.2023 - 30.06.2023</t>
  </si>
  <si>
    <t>stan na 30.06.2023 r.</t>
  </si>
  <si>
    <t>za okres 01.01.2023 - 30.09.2023</t>
  </si>
  <si>
    <t>stan na 30.09.2023 r.</t>
  </si>
  <si>
    <t>za okres 01.01.2023 - 31.12.2023.</t>
  </si>
  <si>
    <t>stan na 31.12.2023 r.</t>
  </si>
  <si>
    <t>za okres 01.01.2023 - 31.12.2023</t>
  </si>
  <si>
    <t>za okres 01.01.2017 - 31.03.2017</t>
  </si>
  <si>
    <t>za okres 01.01.2024 - 31.03.2024.</t>
  </si>
  <si>
    <t>stan na 31.03.2024 r.</t>
  </si>
  <si>
    <t>za okres 01.01.2024 - 31.03.2024</t>
  </si>
  <si>
    <t>za okres 01.01.2024 - 30.06.2024.</t>
  </si>
  <si>
    <t>stan na 30.06.2024 r.</t>
  </si>
  <si>
    <t>za okres 01.01.2024 - 30.06.2024</t>
  </si>
  <si>
    <t>za okres 01.01.2024 - 30.09.2024.</t>
  </si>
  <si>
    <t>stan na 30.09.2024 r.</t>
  </si>
  <si>
    <t>Aktywa finansowe wyceniane w wartości godziwej przez inne całkowite dochody</t>
  </si>
  <si>
    <t>za okres 01.01.2024 - 30.09.2024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</si>
</sst>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"/>
  </numFmts>
  <fonts count="2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62AC"/>
      <name val="Calibri"/>
      <family val="2"/>
      <charset val="238"/>
      <scheme val="minor"/>
    </font>
    <font>
      <b/>
      <sz val="8"/>
      <color rgb="FF0062AC"/>
      <name val="Arial"/>
      <family val="2"/>
      <charset val="238"/>
    </font>
    <font>
      <sz val="8"/>
      <color rgb="FF0062AC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i/>
      <sz val="8"/>
      <color rgb="FF0062AC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i/>
      <sz val="8"/>
      <color rgb="FF0062AC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u/>
      <sz val="8"/>
      <color rgb="FF0062AC"/>
      <name val="Arial"/>
      <family val="2"/>
      <charset val="238"/>
    </font>
    <font>
      <sz val="9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rgb="FF0070C0"/>
      <name val="Calibri"/>
      <family val="2"/>
      <charset val="238"/>
      <scheme val="minor"/>
    </font>
    <font>
      <b/>
      <sz val="8"/>
      <color rgb="FF0070C0"/>
      <name val="Arial"/>
      <family val="2"/>
      <charset val="238"/>
    </font>
    <font>
      <sz val="8"/>
      <color rgb="FF0070C0"/>
      <name val="Arial"/>
      <family val="2"/>
      <charset val="238"/>
    </font>
    <font>
      <b/>
      <i/>
      <sz val="8"/>
      <color rgb="FF0070C0"/>
      <name val="Arial"/>
      <family val="2"/>
      <charset val="238"/>
    </font>
    <font>
      <sz val="8"/>
      <color rgb="FF0070C0"/>
      <name val="Arial"/>
      <family val="2"/>
    </font>
    <font>
      <i/>
      <sz val="8"/>
      <color rgb="FF0070C0"/>
      <name val="Arial"/>
      <family val="2"/>
      <charset val="238"/>
    </font>
    <font>
      <sz val="10"/>
      <name val="Arial"/>
      <family val="2"/>
      <charset val="238"/>
    </font>
    <font>
      <i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26" fillId="0" borderId="0"/>
  </cellStyleXfs>
  <cellXfs count="291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164" fontId="3" fillId="0" borderId="1" xfId="1" applyNumberFormat="1" applyFont="1" applyBorder="1" applyAlignment="1" applyProtection="1">
      <alignment horizontal="right" vertical="center" wrapText="1"/>
      <protection locked="0"/>
    </xf>
    <xf numFmtId="164" fontId="2" fillId="0" borderId="1" xfId="1" applyNumberFormat="1" applyFont="1" applyBorder="1" applyAlignment="1" applyProtection="1">
      <alignment horizontal="right" vertical="center" wrapText="1"/>
      <protection locked="0"/>
    </xf>
    <xf numFmtId="164" fontId="3" fillId="0" borderId="1" xfId="1" applyNumberFormat="1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49" fontId="3" fillId="0" borderId="1" xfId="1" applyNumberFormat="1" applyFont="1" applyBorder="1" applyAlignment="1">
      <alignment vertical="center" wrapText="1"/>
    </xf>
    <xf numFmtId="49" fontId="2" fillId="0" borderId="2" xfId="1" applyNumberFormat="1" applyFont="1" applyBorder="1" applyAlignment="1">
      <alignment vertical="center" wrapText="1"/>
    </xf>
    <xf numFmtId="0" fontId="2" fillId="0" borderId="0" xfId="0" applyFont="1"/>
    <xf numFmtId="0" fontId="2" fillId="0" borderId="2" xfId="1" applyFont="1" applyBorder="1" applyAlignment="1">
      <alignment vertical="center"/>
    </xf>
    <xf numFmtId="3" fontId="2" fillId="0" borderId="2" xfId="1" applyNumberFormat="1" applyFont="1" applyBorder="1" applyAlignment="1">
      <alignment vertical="center"/>
    </xf>
    <xf numFmtId="164" fontId="3" fillId="0" borderId="1" xfId="2" applyNumberFormat="1" applyFont="1" applyBorder="1" applyAlignment="1">
      <alignment vertical="center"/>
    </xf>
    <xf numFmtId="164" fontId="3" fillId="0" borderId="1" xfId="2" applyNumberFormat="1" applyFont="1" applyBorder="1" applyAlignment="1">
      <alignment horizontal="right" vertical="center" wrapText="1"/>
    </xf>
    <xf numFmtId="0" fontId="8" fillId="0" borderId="0" xfId="0" applyFont="1"/>
    <xf numFmtId="0" fontId="2" fillId="2" borderId="4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3" fillId="0" borderId="2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49" fontId="3" fillId="0" borderId="2" xfId="1" applyNumberFormat="1" applyFont="1" applyBorder="1" applyAlignment="1">
      <alignment vertical="center" wrapText="1"/>
    </xf>
    <xf numFmtId="49" fontId="4" fillId="0" borderId="2" xfId="1" applyNumberFormat="1" applyFont="1" applyBorder="1" applyAlignment="1">
      <alignment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164" fontId="2" fillId="0" borderId="6" xfId="1" applyNumberFormat="1" applyFont="1" applyBorder="1" applyAlignment="1">
      <alignment horizontal="right" vertical="center" wrapText="1"/>
    </xf>
    <xf numFmtId="164" fontId="3" fillId="0" borderId="5" xfId="1" applyNumberFormat="1" applyFont="1" applyBorder="1" applyAlignment="1" applyProtection="1">
      <alignment horizontal="right" vertical="center" wrapText="1"/>
      <protection locked="0"/>
    </xf>
    <xf numFmtId="164" fontId="3" fillId="0" borderId="0" xfId="1" applyNumberFormat="1" applyFont="1" applyAlignment="1">
      <alignment vertical="center"/>
    </xf>
    <xf numFmtId="164" fontId="3" fillId="0" borderId="6" xfId="0" applyNumberFormat="1" applyFont="1" applyBorder="1" applyAlignment="1" applyProtection="1">
      <alignment vertical="center"/>
      <protection locked="0"/>
    </xf>
    <xf numFmtId="164" fontId="3" fillId="0" borderId="6" xfId="1" applyNumberFormat="1" applyFont="1" applyBorder="1" applyAlignment="1" applyProtection="1">
      <alignment horizontal="right" vertical="center" wrapText="1"/>
      <protection locked="0"/>
    </xf>
    <xf numFmtId="164" fontId="2" fillId="0" borderId="5" xfId="1" applyNumberFormat="1" applyFont="1" applyBorder="1" applyAlignment="1" applyProtection="1">
      <alignment horizontal="right" vertical="center" wrapText="1"/>
      <protection locked="0"/>
    </xf>
    <xf numFmtId="164" fontId="2" fillId="0" borderId="6" xfId="1" applyNumberFormat="1" applyFont="1" applyBorder="1" applyAlignment="1" applyProtection="1">
      <alignment horizontal="right" vertical="center" wrapText="1"/>
      <protection locked="0"/>
    </xf>
    <xf numFmtId="164" fontId="3" fillId="0" borderId="5" xfId="1" applyNumberFormat="1" applyFont="1" applyBorder="1" applyAlignment="1">
      <alignment horizontal="right" vertical="center" wrapText="1"/>
    </xf>
    <xf numFmtId="164" fontId="3" fillId="0" borderId="6" xfId="1" applyNumberFormat="1" applyFont="1" applyBorder="1" applyAlignment="1">
      <alignment horizontal="right" vertical="center" wrapText="1"/>
    </xf>
    <xf numFmtId="164" fontId="4" fillId="0" borderId="5" xfId="1" applyNumberFormat="1" applyFont="1" applyBorder="1" applyAlignment="1">
      <alignment horizontal="right" vertical="center" wrapText="1"/>
    </xf>
    <xf numFmtId="164" fontId="4" fillId="0" borderId="6" xfId="1" applyNumberFormat="1" applyFont="1" applyBorder="1" applyAlignment="1">
      <alignment horizontal="right" vertical="center" wrapText="1"/>
    </xf>
    <xf numFmtId="164" fontId="4" fillId="0" borderId="7" xfId="1" applyNumberFormat="1" applyFont="1" applyBorder="1" applyAlignment="1">
      <alignment horizontal="right" vertical="center" wrapText="1"/>
    </xf>
    <xf numFmtId="164" fontId="4" fillId="0" borderId="8" xfId="1" applyNumberFormat="1" applyFont="1" applyBorder="1" applyAlignment="1">
      <alignment horizontal="right" vertical="center" wrapText="1"/>
    </xf>
    <xf numFmtId="164" fontId="4" fillId="0" borderId="9" xfId="1" applyNumberFormat="1" applyFont="1" applyBorder="1" applyAlignment="1">
      <alignment horizontal="right" vertical="center" wrapText="1"/>
    </xf>
    <xf numFmtId="0" fontId="7" fillId="0" borderId="0" xfId="0" applyFont="1"/>
    <xf numFmtId="164" fontId="2" fillId="0" borderId="2" xfId="1" applyNumberFormat="1" applyFont="1" applyBorder="1" applyAlignment="1">
      <alignment horizontal="left" vertical="center" wrapText="1" indent="1"/>
    </xf>
    <xf numFmtId="164" fontId="3" fillId="0" borderId="2" xfId="1" applyNumberFormat="1" applyFont="1" applyBorder="1" applyAlignment="1">
      <alignment horizontal="left" vertical="center" wrapText="1" indent="1"/>
    </xf>
    <xf numFmtId="164" fontId="2" fillId="0" borderId="2" xfId="1" applyNumberFormat="1" applyFont="1" applyBorder="1" applyAlignment="1">
      <alignment vertical="center" wrapText="1"/>
    </xf>
    <xf numFmtId="164" fontId="2" fillId="0" borderId="2" xfId="1" applyNumberFormat="1" applyFont="1" applyBorder="1" applyAlignment="1">
      <alignment horizontal="left" vertical="center" indent="1"/>
    </xf>
    <xf numFmtId="164" fontId="2" fillId="0" borderId="2" xfId="1" applyNumberFormat="1" applyFont="1" applyBorder="1" applyAlignment="1">
      <alignment horizontal="left" vertical="center" wrapText="1"/>
    </xf>
    <xf numFmtId="164" fontId="3" fillId="0" borderId="2" xfId="1" applyNumberFormat="1" applyFont="1" applyBorder="1" applyAlignment="1">
      <alignment horizontal="left" vertical="center" wrapText="1"/>
    </xf>
    <xf numFmtId="49" fontId="3" fillId="0" borderId="2" xfId="1" quotePrefix="1" applyNumberFormat="1" applyFont="1" applyBorder="1" applyAlignment="1">
      <alignment vertical="center" wrapText="1"/>
    </xf>
    <xf numFmtId="0" fontId="2" fillId="0" borderId="2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14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164" fontId="0" fillId="0" borderId="0" xfId="0" applyNumberFormat="1"/>
    <xf numFmtId="164" fontId="0" fillId="3" borderId="0" xfId="0" applyNumberFormat="1" applyFill="1"/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0" fillId="2" borderId="14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15" xfId="1" applyFont="1" applyFill="1" applyBorder="1" applyAlignment="1">
      <alignment horizontal="center" vertical="center" wrapText="1"/>
    </xf>
    <xf numFmtId="164" fontId="10" fillId="0" borderId="5" xfId="1" applyNumberFormat="1" applyFont="1" applyBorder="1" applyAlignment="1">
      <alignment horizontal="right" vertical="center" wrapText="1"/>
    </xf>
    <xf numFmtId="164" fontId="10" fillId="0" borderId="1" xfId="1" applyNumberFormat="1" applyFont="1" applyBorder="1" applyAlignment="1">
      <alignment horizontal="right" vertical="center" wrapText="1"/>
    </xf>
    <xf numFmtId="164" fontId="10" fillId="0" borderId="6" xfId="1" applyNumberFormat="1" applyFont="1" applyBorder="1" applyAlignment="1">
      <alignment horizontal="right" vertical="center" wrapText="1"/>
    </xf>
    <xf numFmtId="164" fontId="11" fillId="0" borderId="5" xfId="1" applyNumberFormat="1" applyFont="1" applyBorder="1" applyAlignment="1">
      <alignment horizontal="right" vertical="center" wrapText="1"/>
    </xf>
    <xf numFmtId="164" fontId="11" fillId="0" borderId="1" xfId="1" applyNumberFormat="1" applyFont="1" applyBorder="1" applyAlignment="1">
      <alignment horizontal="right" vertical="center" wrapText="1"/>
    </xf>
    <xf numFmtId="164" fontId="11" fillId="0" borderId="6" xfId="1" applyNumberFormat="1" applyFont="1" applyBorder="1" applyAlignment="1">
      <alignment horizontal="right" vertical="center" wrapText="1"/>
    </xf>
    <xf numFmtId="164" fontId="11" fillId="0" borderId="1" xfId="2" applyNumberFormat="1" applyFont="1" applyBorder="1" applyAlignment="1">
      <alignment vertical="center"/>
    </xf>
    <xf numFmtId="164" fontId="11" fillId="0" borderId="1" xfId="1" applyNumberFormat="1" applyFont="1" applyBorder="1" applyAlignment="1" applyProtection="1">
      <alignment horizontal="right" vertical="center" wrapText="1"/>
      <protection locked="0"/>
    </xf>
    <xf numFmtId="164" fontId="11" fillId="0" borderId="5" xfId="1" applyNumberFormat="1" applyFont="1" applyBorder="1" applyAlignment="1" applyProtection="1">
      <alignment horizontal="right" vertical="center" wrapText="1"/>
      <protection locked="0"/>
    </xf>
    <xf numFmtId="164" fontId="11" fillId="0" borderId="6" xfId="1" applyNumberFormat="1" applyFont="1" applyBorder="1" applyAlignment="1" applyProtection="1">
      <alignment horizontal="right" vertical="center" wrapText="1"/>
      <protection locked="0"/>
    </xf>
    <xf numFmtId="164" fontId="11" fillId="0" borderId="1" xfId="2" applyNumberFormat="1" applyFont="1" applyBorder="1" applyAlignment="1">
      <alignment horizontal="right" vertical="center" wrapText="1"/>
    </xf>
    <xf numFmtId="0" fontId="12" fillId="0" borderId="0" xfId="0" applyFont="1"/>
    <xf numFmtId="0" fontId="10" fillId="2" borderId="2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164" fontId="10" fillId="0" borderId="3" xfId="1" applyNumberFormat="1" applyFont="1" applyBorder="1" applyAlignment="1">
      <alignment horizontal="right" vertical="center" wrapText="1"/>
    </xf>
    <xf numFmtId="164" fontId="11" fillId="0" borderId="0" xfId="1" applyNumberFormat="1" applyFont="1" applyAlignment="1">
      <alignment vertical="center"/>
    </xf>
    <xf numFmtId="164" fontId="11" fillId="0" borderId="6" xfId="0" applyNumberFormat="1" applyFont="1" applyBorder="1" applyAlignment="1" applyProtection="1">
      <alignment vertical="center"/>
      <protection locked="0"/>
    </xf>
    <xf numFmtId="164" fontId="11" fillId="0" borderId="3" xfId="1" applyNumberFormat="1" applyFont="1" applyBorder="1" applyAlignment="1" applyProtection="1">
      <alignment horizontal="right" vertical="center" wrapText="1"/>
      <protection locked="0"/>
    </xf>
    <xf numFmtId="164" fontId="10" fillId="0" borderId="5" xfId="1" applyNumberFormat="1" applyFont="1" applyBorder="1" applyAlignment="1" applyProtection="1">
      <alignment horizontal="right" vertical="center" wrapText="1"/>
      <protection locked="0"/>
    </xf>
    <xf numFmtId="164" fontId="10" fillId="0" borderId="1" xfId="1" applyNumberFormat="1" applyFont="1" applyBorder="1" applyAlignment="1" applyProtection="1">
      <alignment horizontal="right" vertical="center" wrapText="1"/>
      <protection locked="0"/>
    </xf>
    <xf numFmtId="164" fontId="10" fillId="0" borderId="6" xfId="1" applyNumberFormat="1" applyFont="1" applyBorder="1" applyAlignment="1" applyProtection="1">
      <alignment horizontal="right" vertical="center" wrapText="1"/>
      <protection locked="0"/>
    </xf>
    <xf numFmtId="164" fontId="10" fillId="0" borderId="3" xfId="1" applyNumberFormat="1" applyFont="1" applyBorder="1" applyAlignment="1" applyProtection="1">
      <alignment horizontal="right" vertical="center" wrapText="1"/>
      <protection locked="0"/>
    </xf>
    <xf numFmtId="164" fontId="11" fillId="0" borderId="3" xfId="1" applyNumberFormat="1" applyFont="1" applyBorder="1" applyAlignment="1">
      <alignment horizontal="right" vertical="center" wrapText="1"/>
    </xf>
    <xf numFmtId="164" fontId="13" fillId="0" borderId="5" xfId="1" applyNumberFormat="1" applyFont="1" applyBorder="1" applyAlignment="1">
      <alignment horizontal="right" vertical="center" wrapText="1"/>
    </xf>
    <xf numFmtId="164" fontId="13" fillId="0" borderId="1" xfId="1" applyNumberFormat="1" applyFont="1" applyBorder="1" applyAlignment="1">
      <alignment horizontal="right" vertical="center" wrapText="1"/>
    </xf>
    <xf numFmtId="164" fontId="13" fillId="0" borderId="6" xfId="1" applyNumberFormat="1" applyFont="1" applyBorder="1" applyAlignment="1">
      <alignment horizontal="right" vertical="center" wrapText="1"/>
    </xf>
    <xf numFmtId="164" fontId="13" fillId="0" borderId="3" xfId="1" applyNumberFormat="1" applyFont="1" applyBorder="1" applyAlignment="1">
      <alignment horizontal="right" vertical="center" wrapText="1"/>
    </xf>
    <xf numFmtId="164" fontId="13" fillId="0" borderId="7" xfId="1" applyNumberFormat="1" applyFont="1" applyBorder="1" applyAlignment="1">
      <alignment horizontal="right" vertical="center" wrapText="1"/>
    </xf>
    <xf numFmtId="164" fontId="13" fillId="0" borderId="8" xfId="1" applyNumberFormat="1" applyFont="1" applyBorder="1" applyAlignment="1">
      <alignment horizontal="right" vertical="center" wrapText="1"/>
    </xf>
    <xf numFmtId="164" fontId="13" fillId="0" borderId="9" xfId="1" applyNumberFormat="1" applyFont="1" applyBorder="1" applyAlignment="1">
      <alignment horizontal="right" vertical="center" wrapText="1"/>
    </xf>
    <xf numFmtId="164" fontId="13" fillId="0" borderId="10" xfId="1" applyNumberFormat="1" applyFont="1" applyBorder="1" applyAlignment="1">
      <alignment horizontal="right" vertical="center" wrapText="1"/>
    </xf>
    <xf numFmtId="0" fontId="14" fillId="0" borderId="0" xfId="0" applyFont="1"/>
    <xf numFmtId="49" fontId="6" fillId="0" borderId="2" xfId="1" quotePrefix="1" applyNumberFormat="1" applyFont="1" applyBorder="1" applyAlignment="1">
      <alignment vertical="center" wrapText="1"/>
    </xf>
    <xf numFmtId="164" fontId="6" fillId="0" borderId="5" xfId="1" applyNumberFormat="1" applyFont="1" applyBorder="1" applyAlignment="1">
      <alignment horizontal="right" vertical="center" wrapText="1"/>
    </xf>
    <xf numFmtId="164" fontId="6" fillId="0" borderId="1" xfId="1" applyNumberFormat="1" applyFont="1" applyBorder="1" applyAlignment="1">
      <alignment horizontal="right" vertical="center" wrapText="1"/>
    </xf>
    <xf numFmtId="164" fontId="6" fillId="0" borderId="6" xfId="1" applyNumberFormat="1" applyFont="1" applyBorder="1" applyAlignment="1">
      <alignment horizontal="right" vertical="center" wrapText="1"/>
    </xf>
    <xf numFmtId="164" fontId="15" fillId="0" borderId="5" xfId="1" applyNumberFormat="1" applyFont="1" applyBorder="1" applyAlignment="1">
      <alignment horizontal="right" vertical="center" wrapText="1"/>
    </xf>
    <xf numFmtId="164" fontId="15" fillId="0" borderId="1" xfId="1" applyNumberFormat="1" applyFont="1" applyBorder="1" applyAlignment="1">
      <alignment horizontal="right" vertical="center" wrapText="1"/>
    </xf>
    <xf numFmtId="164" fontId="15" fillId="0" borderId="6" xfId="1" applyNumberFormat="1" applyFont="1" applyBorder="1" applyAlignment="1">
      <alignment horizontal="right" vertical="center" wrapText="1"/>
    </xf>
    <xf numFmtId="0" fontId="16" fillId="0" borderId="0" xfId="0" applyFont="1"/>
    <xf numFmtId="0" fontId="3" fillId="0" borderId="6" xfId="0" applyFont="1" applyBorder="1"/>
    <xf numFmtId="0" fontId="2" fillId="2" borderId="17" xfId="1" applyFont="1" applyFill="1" applyBorder="1" applyAlignment="1">
      <alignment horizontal="center" vertical="center" wrapText="1"/>
    </xf>
    <xf numFmtId="49" fontId="2" fillId="0" borderId="16" xfId="1" applyNumberFormat="1" applyFont="1" applyBorder="1" applyAlignment="1">
      <alignment vertical="center" wrapText="1"/>
    </xf>
    <xf numFmtId="0" fontId="18" fillId="0" borderId="0" xfId="1" applyFont="1" applyAlignment="1">
      <alignment wrapText="1"/>
    </xf>
    <xf numFmtId="164" fontId="2" fillId="4" borderId="1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19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5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6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7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8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9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1" xfId="1" applyNumberFormat="1" applyFont="1" applyBorder="1" applyAlignment="1" applyProtection="1">
      <alignment horizontal="right" vertical="center" wrapText="1"/>
      <protection locked="0"/>
    </xf>
    <xf numFmtId="164" fontId="3" fillId="0" borderId="12" xfId="1" applyNumberFormat="1" applyFont="1" applyBorder="1" applyAlignment="1" applyProtection="1">
      <alignment horizontal="right" vertical="center" wrapText="1"/>
      <protection locked="0"/>
    </xf>
    <xf numFmtId="164" fontId="3" fillId="0" borderId="13" xfId="1" applyNumberFormat="1" applyFont="1" applyBorder="1" applyAlignment="1" applyProtection="1">
      <alignment horizontal="right" vertical="center" wrapText="1"/>
      <protection locked="0"/>
    </xf>
    <xf numFmtId="49" fontId="2" fillId="4" borderId="2" xfId="1" applyNumberFormat="1" applyFont="1" applyFill="1" applyBorder="1" applyAlignment="1">
      <alignment vertical="center" wrapText="1"/>
    </xf>
    <xf numFmtId="49" fontId="4" fillId="4" borderId="2" xfId="1" applyNumberFormat="1" applyFont="1" applyFill="1" applyBorder="1" applyAlignment="1">
      <alignment horizontal="left" vertical="center" wrapText="1"/>
    </xf>
    <xf numFmtId="49" fontId="6" fillId="0" borderId="2" xfId="1" applyNumberFormat="1" applyFont="1" applyBorder="1" applyAlignment="1">
      <alignment horizontal="left" vertical="center" wrapText="1"/>
    </xf>
    <xf numFmtId="49" fontId="4" fillId="0" borderId="20" xfId="1" applyNumberFormat="1" applyFont="1" applyBorder="1" applyAlignment="1">
      <alignment horizontal="left" vertical="center" wrapText="1"/>
    </xf>
    <xf numFmtId="3" fontId="3" fillId="0" borderId="18" xfId="1" applyNumberFormat="1" applyFont="1" applyBorder="1" applyAlignment="1">
      <alignment horizontal="right" vertical="center" wrapText="1"/>
    </xf>
    <xf numFmtId="164" fontId="2" fillId="4" borderId="5" xfId="1" applyNumberFormat="1" applyFont="1" applyFill="1" applyBorder="1" applyAlignment="1">
      <alignment horizontal="right" vertical="center" wrapText="1"/>
    </xf>
    <xf numFmtId="164" fontId="2" fillId="4" borderId="1" xfId="1" applyNumberFormat="1" applyFont="1" applyFill="1" applyBorder="1" applyAlignment="1">
      <alignment horizontal="right" vertical="center" wrapText="1"/>
    </xf>
    <xf numFmtId="164" fontId="2" fillId="4" borderId="6" xfId="1" applyNumberFormat="1" applyFont="1" applyFill="1" applyBorder="1" applyAlignment="1">
      <alignment horizontal="right" vertical="center" wrapText="1"/>
    </xf>
    <xf numFmtId="49" fontId="6" fillId="0" borderId="2" xfId="1" applyNumberFormat="1" applyFont="1" applyBorder="1" applyAlignment="1">
      <alignment vertical="center" wrapText="1"/>
    </xf>
    <xf numFmtId="164" fontId="3" fillId="0" borderId="19" xfId="1" applyNumberFormat="1" applyFont="1" applyBorder="1" applyAlignment="1" applyProtection="1">
      <alignment horizontal="right" vertical="center" wrapText="1"/>
      <protection locked="0"/>
    </xf>
    <xf numFmtId="164" fontId="3" fillId="0" borderId="21" xfId="1" applyNumberFormat="1" applyFont="1" applyBorder="1" applyAlignment="1" applyProtection="1">
      <alignment horizontal="right" vertical="center" wrapText="1"/>
      <protection locked="0"/>
    </xf>
    <xf numFmtId="164" fontId="3" fillId="0" borderId="17" xfId="1" applyNumberFormat="1" applyFont="1" applyBorder="1" applyAlignment="1" applyProtection="1">
      <alignment horizontal="right" vertical="center" wrapText="1"/>
      <protection locked="0"/>
    </xf>
    <xf numFmtId="164" fontId="2" fillId="0" borderId="23" xfId="1" applyNumberFormat="1" applyFont="1" applyBorder="1" applyAlignment="1" applyProtection="1">
      <alignment horizontal="right" vertical="center" wrapText="1"/>
      <protection locked="0"/>
    </xf>
    <xf numFmtId="164" fontId="2" fillId="0" borderId="24" xfId="1" applyNumberFormat="1" applyFont="1" applyBorder="1" applyAlignment="1" applyProtection="1">
      <alignment horizontal="right" vertical="center" wrapText="1"/>
      <protection locked="0"/>
    </xf>
    <xf numFmtId="164" fontId="2" fillId="0" borderId="22" xfId="1" applyNumberFormat="1" applyFont="1" applyBorder="1" applyAlignment="1" applyProtection="1">
      <alignment horizontal="right" vertical="center" wrapText="1"/>
      <protection locked="0"/>
    </xf>
    <xf numFmtId="49" fontId="3" fillId="0" borderId="20" xfId="1" applyNumberFormat="1" applyFont="1" applyBorder="1" applyAlignment="1">
      <alignment vertical="center" wrapText="1"/>
    </xf>
    <xf numFmtId="164" fontId="11" fillId="0" borderId="17" xfId="1" applyNumberFormat="1" applyFont="1" applyBorder="1" applyAlignment="1" applyProtection="1">
      <alignment horizontal="right" vertical="center" wrapText="1"/>
      <protection locked="0"/>
    </xf>
    <xf numFmtId="164" fontId="11" fillId="0" borderId="19" xfId="1" applyNumberFormat="1" applyFont="1" applyBorder="1" applyAlignment="1" applyProtection="1">
      <alignment horizontal="right" vertical="center" wrapText="1"/>
      <protection locked="0"/>
    </xf>
    <xf numFmtId="164" fontId="11" fillId="0" borderId="21" xfId="1" applyNumberFormat="1" applyFont="1" applyBorder="1" applyAlignment="1" applyProtection="1">
      <alignment horizontal="right" vertical="center" wrapText="1"/>
      <protection locked="0"/>
    </xf>
    <xf numFmtId="164" fontId="2" fillId="0" borderId="22" xfId="1" applyNumberFormat="1" applyFont="1" applyBorder="1" applyAlignment="1">
      <alignment horizontal="right" vertical="center" wrapText="1"/>
    </xf>
    <xf numFmtId="164" fontId="2" fillId="0" borderId="23" xfId="1" applyNumberFormat="1" applyFont="1" applyBorder="1" applyAlignment="1">
      <alignment horizontal="right" vertical="center" wrapText="1"/>
    </xf>
    <xf numFmtId="164" fontId="2" fillId="0" borderId="24" xfId="1" applyNumberFormat="1" applyFont="1" applyBorder="1" applyAlignment="1">
      <alignment horizontal="right" vertical="center" wrapText="1"/>
    </xf>
    <xf numFmtId="164" fontId="10" fillId="0" borderId="22" xfId="1" applyNumberFormat="1" applyFont="1" applyBorder="1" applyAlignment="1">
      <alignment horizontal="right" vertical="center" wrapText="1"/>
    </xf>
    <xf numFmtId="164" fontId="10" fillId="0" borderId="23" xfId="1" applyNumberFormat="1" applyFont="1" applyBorder="1" applyAlignment="1">
      <alignment horizontal="right" vertical="center" wrapText="1"/>
    </xf>
    <xf numFmtId="164" fontId="10" fillId="0" borderId="24" xfId="1" applyNumberFormat="1" applyFont="1" applyBorder="1" applyAlignment="1">
      <alignment horizontal="right" vertical="center" wrapText="1"/>
    </xf>
    <xf numFmtId="164" fontId="11" fillId="0" borderId="19" xfId="2" applyNumberFormat="1" applyFont="1" applyBorder="1" applyAlignment="1">
      <alignment horizontal="right" vertical="center" wrapText="1"/>
    </xf>
    <xf numFmtId="49" fontId="2" fillId="4" borderId="20" xfId="1" applyNumberFormat="1" applyFont="1" applyFill="1" applyBorder="1" applyAlignment="1">
      <alignment vertical="center" wrapText="1"/>
    </xf>
    <xf numFmtId="164" fontId="2" fillId="4" borderId="17" xfId="1" applyNumberFormat="1" applyFont="1" applyFill="1" applyBorder="1" applyAlignment="1">
      <alignment horizontal="right" vertical="center" wrapText="1"/>
    </xf>
    <xf numFmtId="164" fontId="2" fillId="4" borderId="21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17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19" xfId="2" applyNumberFormat="1" applyFont="1" applyFill="1" applyBorder="1" applyAlignment="1">
      <alignment vertical="center"/>
    </xf>
    <xf numFmtId="164" fontId="2" fillId="0" borderId="23" xfId="2" applyNumberFormat="1" applyFont="1" applyBorder="1" applyAlignment="1">
      <alignment vertical="center"/>
    </xf>
    <xf numFmtId="0" fontId="2" fillId="4" borderId="2" xfId="0" applyFont="1" applyFill="1" applyBorder="1"/>
    <xf numFmtId="0" fontId="3" fillId="0" borderId="2" xfId="0" applyFont="1" applyBorder="1"/>
    <xf numFmtId="0" fontId="6" fillId="0" borderId="2" xfId="0" applyFont="1" applyBorder="1"/>
    <xf numFmtId="0" fontId="2" fillId="0" borderId="16" xfId="0" applyFont="1" applyBorder="1"/>
    <xf numFmtId="49" fontId="6" fillId="0" borderId="0" xfId="1" applyNumberFormat="1" applyFont="1" applyAlignment="1">
      <alignment horizontal="left" vertical="center" wrapText="1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2" fillId="2" borderId="28" xfId="1" applyFont="1" applyFill="1" applyBorder="1" applyAlignment="1">
      <alignment horizontal="center" vertical="center" wrapText="1"/>
    </xf>
    <xf numFmtId="164" fontId="2" fillId="4" borderId="27" xfId="1" applyNumberFormat="1" applyFont="1" applyFill="1" applyBorder="1" applyAlignment="1" applyProtection="1">
      <alignment horizontal="right" vertical="center" wrapText="1"/>
      <protection locked="0"/>
    </xf>
    <xf numFmtId="164" fontId="2" fillId="0" borderId="27" xfId="1" applyNumberFormat="1" applyFont="1" applyBorder="1" applyAlignment="1" applyProtection="1">
      <alignment horizontal="right" vertical="center" wrapText="1"/>
      <protection locked="0"/>
    </xf>
    <xf numFmtId="164" fontId="3" fillId="0" borderId="27" xfId="1" applyNumberFormat="1" applyFont="1" applyBorder="1" applyAlignment="1" applyProtection="1">
      <alignment horizontal="right" vertical="center" wrapText="1"/>
      <protection locked="0"/>
    </xf>
    <xf numFmtId="164" fontId="2" fillId="4" borderId="29" xfId="1" applyNumberFormat="1" applyFont="1" applyFill="1" applyBorder="1" applyAlignment="1" applyProtection="1">
      <alignment horizontal="right" vertical="center" wrapText="1"/>
      <protection locked="0"/>
    </xf>
    <xf numFmtId="0" fontId="2" fillId="2" borderId="27" xfId="1" applyFont="1" applyFill="1" applyBorder="1" applyAlignment="1">
      <alignment horizontal="center" vertical="center" wrapText="1"/>
    </xf>
    <xf numFmtId="164" fontId="3" fillId="0" borderId="26" xfId="1" applyNumberFormat="1" applyFont="1" applyBorder="1" applyAlignment="1" applyProtection="1">
      <alignment horizontal="right" vertical="center" wrapText="1"/>
      <protection locked="0"/>
    </xf>
    <xf numFmtId="49" fontId="2" fillId="0" borderId="1" xfId="1" applyNumberFormat="1" applyFont="1" applyBorder="1" applyAlignment="1">
      <alignment vertical="center" wrapText="1"/>
    </xf>
    <xf numFmtId="49" fontId="2" fillId="0" borderId="0" xfId="1" applyNumberFormat="1" applyFont="1" applyAlignment="1">
      <alignment horizontal="left" vertical="center" wrapText="1"/>
    </xf>
    <xf numFmtId="4" fontId="2" fillId="0" borderId="0" xfId="1" applyNumberFormat="1" applyFont="1" applyAlignment="1">
      <alignment horizontal="right" vertic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wrapText="1"/>
    </xf>
    <xf numFmtId="4" fontId="2" fillId="0" borderId="0" xfId="1" applyNumberFormat="1" applyFont="1" applyAlignment="1" applyProtection="1">
      <alignment horizontal="right" vertical="center" wrapText="1"/>
      <protection locked="0"/>
    </xf>
    <xf numFmtId="49" fontId="3" fillId="0" borderId="0" xfId="1" applyNumberFormat="1" applyFont="1" applyAlignment="1">
      <alignment horizontal="left" vertical="center" wrapText="1"/>
    </xf>
    <xf numFmtId="4" fontId="3" fillId="0" borderId="0" xfId="1" applyNumberFormat="1" applyFont="1" applyAlignment="1" applyProtection="1">
      <alignment horizontal="right" vertical="center" wrapText="1"/>
      <protection locked="0"/>
    </xf>
    <xf numFmtId="164" fontId="3" fillId="0" borderId="27" xfId="1" applyNumberFormat="1" applyFont="1" applyBorder="1" applyAlignment="1">
      <alignment horizontal="right" vertical="center" wrapText="1"/>
    </xf>
    <xf numFmtId="0" fontId="2" fillId="2" borderId="30" xfId="1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164" fontId="2" fillId="4" borderId="27" xfId="1" applyNumberFormat="1" applyFont="1" applyFill="1" applyBorder="1" applyAlignment="1">
      <alignment horizontal="right" vertical="center" wrapText="1"/>
    </xf>
    <xf numFmtId="164" fontId="2" fillId="4" borderId="29" xfId="1" applyNumberFormat="1" applyFont="1" applyFill="1" applyBorder="1" applyAlignment="1">
      <alignment horizontal="right" vertical="center" wrapText="1"/>
    </xf>
    <xf numFmtId="0" fontId="8" fillId="0" borderId="27" xfId="0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19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/>
    </xf>
    <xf numFmtId="0" fontId="21" fillId="2" borderId="27" xfId="1" applyFont="1" applyFill="1" applyBorder="1" applyAlignment="1">
      <alignment horizontal="center" vertical="center" wrapText="1"/>
    </xf>
    <xf numFmtId="0" fontId="21" fillId="2" borderId="30" xfId="1" applyFont="1" applyFill="1" applyBorder="1" applyAlignment="1">
      <alignment horizontal="center" vertical="center" wrapText="1"/>
    </xf>
    <xf numFmtId="164" fontId="21" fillId="0" borderId="27" xfId="1" applyNumberFormat="1" applyFont="1" applyBorder="1" applyAlignment="1">
      <alignment horizontal="right" vertical="center" wrapText="1"/>
    </xf>
    <xf numFmtId="164" fontId="22" fillId="0" borderId="27" xfId="1" applyNumberFormat="1" applyFont="1" applyBorder="1" applyAlignment="1">
      <alignment horizontal="right" vertical="center" wrapText="1"/>
    </xf>
    <xf numFmtId="164" fontId="22" fillId="0" borderId="27" xfId="1" applyNumberFormat="1" applyFont="1" applyBorder="1" applyAlignment="1" applyProtection="1">
      <alignment horizontal="right" vertical="center" wrapText="1"/>
      <protection locked="0"/>
    </xf>
    <xf numFmtId="164" fontId="21" fillId="0" borderId="29" xfId="1" applyNumberFormat="1" applyFont="1" applyBorder="1" applyAlignment="1">
      <alignment horizontal="right" vertical="center" wrapText="1"/>
    </xf>
    <xf numFmtId="49" fontId="2" fillId="0" borderId="25" xfId="1" applyNumberFormat="1" applyFont="1" applyBorder="1" applyAlignment="1">
      <alignment vertical="center" wrapText="1"/>
    </xf>
    <xf numFmtId="0" fontId="20" fillId="0" borderId="26" xfId="0" applyFont="1" applyBorder="1" applyAlignment="1">
      <alignment horizontal="center"/>
    </xf>
    <xf numFmtId="0" fontId="21" fillId="0" borderId="27" xfId="1" applyFont="1" applyBorder="1" applyAlignment="1">
      <alignment horizontal="center" vertical="center" wrapText="1"/>
    </xf>
    <xf numFmtId="164" fontId="21" fillId="0" borderId="27" xfId="1" applyNumberFormat="1" applyFont="1" applyBorder="1" applyAlignment="1" applyProtection="1">
      <alignment horizontal="right" vertical="center" wrapText="1"/>
      <protection locked="0"/>
    </xf>
    <xf numFmtId="164" fontId="23" fillId="0" borderId="27" xfId="1" applyNumberFormat="1" applyFont="1" applyBorder="1" applyAlignment="1">
      <alignment horizontal="right" vertical="center" wrapText="1"/>
    </xf>
    <xf numFmtId="164" fontId="23" fillId="0" borderId="29" xfId="1" applyNumberFormat="1" applyFont="1" applyBorder="1" applyAlignment="1">
      <alignment horizontal="right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" xfId="0" applyFont="1" applyBorder="1"/>
    <xf numFmtId="0" fontId="8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164" fontId="22" fillId="0" borderId="28" xfId="1" applyNumberFormat="1" applyFont="1" applyBorder="1" applyAlignment="1" applyProtection="1">
      <alignment horizontal="right" vertical="center" wrapText="1"/>
      <protection locked="0"/>
    </xf>
    <xf numFmtId="164" fontId="21" fillId="0" borderId="25" xfId="1" applyNumberFormat="1" applyFont="1" applyBorder="1" applyAlignment="1">
      <alignment horizontal="right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1" fillId="2" borderId="5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164" fontId="21" fillId="0" borderId="1" xfId="1" applyNumberFormat="1" applyFont="1" applyBorder="1" applyAlignment="1">
      <alignment horizontal="right" vertical="center" wrapText="1"/>
    </xf>
    <xf numFmtId="164" fontId="22" fillId="0" borderId="1" xfId="1" applyNumberFormat="1" applyFont="1" applyBorder="1" applyAlignment="1">
      <alignment horizontal="right" vertical="center" wrapText="1"/>
    </xf>
    <xf numFmtId="164" fontId="22" fillId="0" borderId="1" xfId="1" applyNumberFormat="1" applyFont="1" applyBorder="1" applyAlignment="1" applyProtection="1">
      <alignment horizontal="right" vertical="center" wrapText="1"/>
      <protection locked="0"/>
    </xf>
    <xf numFmtId="164" fontId="21" fillId="0" borderId="1" xfId="1" applyNumberFormat="1" applyFont="1" applyBorder="1" applyAlignment="1" applyProtection="1">
      <alignment horizontal="right" vertical="center" wrapText="1"/>
      <protection locked="0"/>
    </xf>
    <xf numFmtId="164" fontId="2" fillId="0" borderId="2" xfId="1" applyNumberFormat="1" applyFont="1" applyBorder="1" applyAlignment="1">
      <alignment vertical="center"/>
    </xf>
    <xf numFmtId="164" fontId="21" fillId="0" borderId="5" xfId="1" applyNumberFormat="1" applyFont="1" applyBorder="1" applyAlignment="1" applyProtection="1">
      <alignment horizontal="right" vertical="center" wrapText="1"/>
      <protection locked="0"/>
    </xf>
    <xf numFmtId="164" fontId="21" fillId="0" borderId="8" xfId="1" applyNumberFormat="1" applyFont="1" applyBorder="1" applyAlignment="1">
      <alignment horizontal="right" vertical="center" wrapText="1"/>
    </xf>
    <xf numFmtId="164" fontId="21" fillId="0" borderId="7" xfId="1" applyNumberFormat="1" applyFont="1" applyBorder="1" applyAlignment="1">
      <alignment horizontal="right" vertical="center" wrapText="1"/>
    </xf>
    <xf numFmtId="0" fontId="20" fillId="0" borderId="6" xfId="0" applyFont="1" applyBorder="1" applyAlignment="1">
      <alignment horizontal="center"/>
    </xf>
    <xf numFmtId="0" fontId="21" fillId="2" borderId="6" xfId="1" applyFont="1" applyFill="1" applyBorder="1" applyAlignment="1">
      <alignment horizontal="center" vertical="center" wrapText="1"/>
    </xf>
    <xf numFmtId="0" fontId="21" fillId="0" borderId="5" xfId="1" applyFont="1" applyBorder="1" applyAlignment="1">
      <alignment vertical="center"/>
    </xf>
    <xf numFmtId="0" fontId="21" fillId="0" borderId="1" xfId="1" applyFont="1" applyBorder="1" applyAlignment="1">
      <alignment vertical="center"/>
    </xf>
    <xf numFmtId="0" fontId="21" fillId="0" borderId="6" xfId="1" applyFont="1" applyBorder="1" applyAlignment="1">
      <alignment vertical="center"/>
    </xf>
    <xf numFmtId="164" fontId="21" fillId="0" borderId="5" xfId="1" applyNumberFormat="1" applyFont="1" applyBorder="1" applyAlignment="1">
      <alignment horizontal="right" vertical="center" wrapText="1"/>
    </xf>
    <xf numFmtId="164" fontId="21" fillId="0" borderId="6" xfId="1" applyNumberFormat="1" applyFont="1" applyBorder="1" applyAlignment="1">
      <alignment horizontal="right" vertical="center" wrapText="1"/>
    </xf>
    <xf numFmtId="164" fontId="21" fillId="0" borderId="6" xfId="1" applyNumberFormat="1" applyFont="1" applyBorder="1" applyAlignment="1" applyProtection="1">
      <alignment horizontal="right" vertical="center" wrapText="1"/>
      <protection locked="0"/>
    </xf>
    <xf numFmtId="164" fontId="22" fillId="0" borderId="5" xfId="1" applyNumberFormat="1" applyFont="1" applyBorder="1" applyAlignment="1" applyProtection="1">
      <alignment horizontal="right" vertical="center" wrapText="1"/>
      <protection locked="0"/>
    </xf>
    <xf numFmtId="164" fontId="22" fillId="0" borderId="1" xfId="1" applyNumberFormat="1" applyFont="1" applyBorder="1" applyAlignment="1" applyProtection="1">
      <alignment horizontal="right" vertical="center"/>
      <protection locked="0"/>
    </xf>
    <xf numFmtId="164" fontId="22" fillId="0" borderId="6" xfId="1" applyNumberFormat="1" applyFont="1" applyBorder="1" applyAlignment="1" applyProtection="1">
      <alignment horizontal="right" vertical="center" wrapText="1"/>
      <protection locked="0"/>
    </xf>
    <xf numFmtId="164" fontId="22" fillId="0" borderId="5" xfId="1" applyNumberFormat="1" applyFont="1" applyBorder="1" applyAlignment="1">
      <alignment horizontal="right" vertical="center" wrapText="1"/>
    </xf>
    <xf numFmtId="164" fontId="22" fillId="0" borderId="6" xfId="1" applyNumberFormat="1" applyFont="1" applyBorder="1" applyAlignment="1">
      <alignment horizontal="right" vertical="center" wrapText="1"/>
    </xf>
    <xf numFmtId="164" fontId="24" fillId="0" borderId="1" xfId="1" applyNumberFormat="1" applyFont="1" applyBorder="1" applyAlignment="1" applyProtection="1">
      <alignment horizontal="right" vertical="center"/>
      <protection locked="0"/>
    </xf>
    <xf numFmtId="164" fontId="25" fillId="0" borderId="5" xfId="1" applyNumberFormat="1" applyFont="1" applyBorder="1" applyAlignment="1" applyProtection="1">
      <alignment horizontal="right" vertical="center" wrapText="1"/>
      <protection locked="0"/>
    </xf>
    <xf numFmtId="3" fontId="21" fillId="0" borderId="5" xfId="1" applyNumberFormat="1" applyFont="1" applyBorder="1" applyAlignment="1">
      <alignment vertical="center"/>
    </xf>
    <xf numFmtId="3" fontId="21" fillId="0" borderId="1" xfId="1" applyNumberFormat="1" applyFont="1" applyBorder="1" applyAlignment="1">
      <alignment vertical="center"/>
    </xf>
    <xf numFmtId="3" fontId="21" fillId="0" borderId="6" xfId="1" applyNumberFormat="1" applyFont="1" applyBorder="1" applyAlignment="1">
      <alignment vertical="center"/>
    </xf>
    <xf numFmtId="164" fontId="21" fillId="0" borderId="6" xfId="1" applyNumberFormat="1" applyFont="1" applyBorder="1" applyAlignment="1">
      <alignment vertical="center"/>
    </xf>
    <xf numFmtId="164" fontId="21" fillId="0" borderId="5" xfId="1" applyNumberFormat="1" applyFont="1" applyBorder="1" applyAlignment="1">
      <alignment vertical="center"/>
    </xf>
    <xf numFmtId="164" fontId="21" fillId="0" borderId="1" xfId="1" applyNumberFormat="1" applyFont="1" applyBorder="1" applyAlignment="1">
      <alignment vertical="center"/>
    </xf>
    <xf numFmtId="164" fontId="21" fillId="0" borderId="5" xfId="1" applyNumberFormat="1" applyFont="1" applyBorder="1" applyAlignment="1">
      <alignment horizontal="right" vertical="center"/>
    </xf>
    <xf numFmtId="164" fontId="21" fillId="0" borderId="1" xfId="1" applyNumberFormat="1" applyFont="1" applyBorder="1" applyAlignment="1">
      <alignment horizontal="right" vertical="center"/>
    </xf>
    <xf numFmtId="164" fontId="21" fillId="0" borderId="6" xfId="1" applyNumberFormat="1" applyFont="1" applyBorder="1" applyAlignment="1">
      <alignment horizontal="right" vertical="center"/>
    </xf>
    <xf numFmtId="3" fontId="22" fillId="0" borderId="1" xfId="1" applyNumberFormat="1" applyFont="1" applyBorder="1" applyAlignment="1" applyProtection="1">
      <alignment horizontal="right" vertical="center" wrapText="1"/>
      <protection locked="0"/>
    </xf>
    <xf numFmtId="3" fontId="22" fillId="0" borderId="1" xfId="1" applyNumberFormat="1" applyFont="1" applyBorder="1" applyAlignment="1">
      <alignment horizontal="right" vertical="center" wrapText="1"/>
    </xf>
    <xf numFmtId="164" fontId="22" fillId="0" borderId="5" xfId="1" applyNumberFormat="1" applyFont="1" applyBorder="1" applyAlignment="1" applyProtection="1">
      <alignment vertical="center" wrapText="1"/>
      <protection locked="0"/>
    </xf>
    <xf numFmtId="164" fontId="22" fillId="0" borderId="1" xfId="1" applyNumberFormat="1" applyFont="1" applyBorder="1" applyAlignment="1" applyProtection="1">
      <alignment vertical="center" wrapText="1"/>
      <protection locked="0"/>
    </xf>
    <xf numFmtId="164" fontId="22" fillId="0" borderId="6" xfId="1" applyNumberFormat="1" applyFont="1" applyBorder="1" applyAlignment="1" applyProtection="1">
      <alignment vertical="center" wrapText="1"/>
      <protection locked="0"/>
    </xf>
    <xf numFmtId="164" fontId="21" fillId="0" borderId="5" xfId="1" applyNumberFormat="1" applyFont="1" applyBorder="1" applyAlignment="1" applyProtection="1">
      <alignment vertical="center" wrapText="1"/>
      <protection locked="0"/>
    </xf>
    <xf numFmtId="164" fontId="21" fillId="0" borderId="1" xfId="1" applyNumberFormat="1" applyFont="1" applyBorder="1" applyAlignment="1" applyProtection="1">
      <alignment vertical="center" wrapText="1"/>
      <protection locked="0"/>
    </xf>
    <xf numFmtId="164" fontId="21" fillId="0" borderId="6" xfId="1" applyNumberFormat="1" applyFont="1" applyBorder="1" applyAlignment="1" applyProtection="1">
      <alignment vertical="center" wrapText="1"/>
      <protection locked="0"/>
    </xf>
    <xf numFmtId="164" fontId="22" fillId="0" borderId="5" xfId="1" applyNumberFormat="1" applyFont="1" applyBorder="1" applyAlignment="1">
      <alignment vertical="center" wrapText="1"/>
    </xf>
    <xf numFmtId="164" fontId="22" fillId="0" borderId="1" xfId="1" applyNumberFormat="1" applyFont="1" applyBorder="1" applyAlignment="1">
      <alignment vertical="center" wrapText="1"/>
    </xf>
    <xf numFmtId="164" fontId="22" fillId="0" borderId="6" xfId="1" applyNumberFormat="1" applyFont="1" applyBorder="1" applyAlignment="1">
      <alignment vertical="center" wrapText="1"/>
    </xf>
    <xf numFmtId="164" fontId="22" fillId="0" borderId="1" xfId="0" applyNumberFormat="1" applyFont="1" applyBorder="1" applyAlignment="1">
      <alignment horizontal="right" vertical="center"/>
    </xf>
    <xf numFmtId="164" fontId="24" fillId="0" borderId="1" xfId="0" applyNumberFormat="1" applyFont="1" applyBorder="1" applyAlignment="1" applyProtection="1">
      <alignment horizontal="right" vertical="center"/>
      <protection locked="0"/>
    </xf>
    <xf numFmtId="164" fontId="21" fillId="0" borderId="9" xfId="1" applyNumberFormat="1" applyFont="1" applyBorder="1" applyAlignment="1">
      <alignment horizontal="right" vertical="center" wrapText="1"/>
    </xf>
    <xf numFmtId="0" fontId="20" fillId="0" borderId="27" xfId="0" applyFont="1" applyBorder="1" applyAlignment="1">
      <alignment horizontal="center" vertical="center"/>
    </xf>
    <xf numFmtId="0" fontId="20" fillId="0" borderId="31" xfId="0" applyFont="1" applyBorder="1"/>
    <xf numFmtId="164" fontId="21" fillId="0" borderId="27" xfId="1" applyNumberFormat="1" applyFont="1" applyBorder="1" applyAlignment="1">
      <alignment vertical="center"/>
    </xf>
    <xf numFmtId="164" fontId="21" fillId="0" borderId="27" xfId="1" applyNumberFormat="1" applyFont="1" applyBorder="1" applyAlignment="1">
      <alignment horizontal="right" vertical="center"/>
    </xf>
    <xf numFmtId="164" fontId="21" fillId="5" borderId="27" xfId="1" applyNumberFormat="1" applyFont="1" applyFill="1" applyBorder="1" applyAlignment="1">
      <alignment horizontal="right" vertical="center"/>
    </xf>
    <xf numFmtId="164" fontId="22" fillId="0" borderId="27" xfId="1" applyNumberFormat="1" applyFont="1" applyBorder="1" applyAlignment="1" applyProtection="1">
      <alignment vertical="center" wrapText="1"/>
      <protection locked="0"/>
    </xf>
    <xf numFmtId="164" fontId="21" fillId="0" borderId="27" xfId="1" applyNumberFormat="1" applyFont="1" applyBorder="1" applyAlignment="1" applyProtection="1">
      <alignment vertical="center" wrapText="1"/>
      <protection locked="0"/>
    </xf>
    <xf numFmtId="164" fontId="22" fillId="0" borderId="27" xfId="1" applyNumberFormat="1" applyFont="1" applyBorder="1" applyAlignment="1">
      <alignment vertical="center" wrapText="1"/>
    </xf>
    <xf numFmtId="0" fontId="21" fillId="0" borderId="27" xfId="1" applyFont="1" applyBorder="1" applyAlignment="1">
      <alignment vertical="center"/>
    </xf>
    <xf numFmtId="0" fontId="21" fillId="2" borderId="3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164" fontId="3" fillId="0" borderId="1" xfId="1" applyNumberFormat="1" applyFont="1" applyBorder="1" applyAlignment="1">
      <alignment horizontal="left" vertical="center" wrapText="1" indent="1"/>
    </xf>
    <xf numFmtId="3" fontId="3" fillId="0" borderId="1" xfId="1" applyNumberFormat="1" applyFont="1" applyBorder="1" applyAlignment="1">
      <alignment horizontal="left" vertical="center" wrapText="1" indent="1"/>
    </xf>
    <xf numFmtId="0" fontId="8" fillId="0" borderId="12" xfId="0" applyFont="1" applyBorder="1" applyAlignment="1">
      <alignment horizontal="center" vertical="center"/>
    </xf>
    <xf numFmtId="0" fontId="27" fillId="0" borderId="0" xfId="0" applyFont="1"/>
    <xf numFmtId="0" fontId="20" fillId="0" borderId="0" xfId="0" applyFont="1"/>
    <xf numFmtId="164" fontId="3" fillId="0" borderId="19" xfId="1" applyNumberFormat="1" applyFont="1" applyBorder="1" applyAlignment="1">
      <alignment horizontal="right" vertical="center" wrapText="1"/>
    </xf>
    <xf numFmtId="164" fontId="3" fillId="0" borderId="21" xfId="1" applyNumberFormat="1" applyFont="1" applyBorder="1" applyAlignment="1">
      <alignment horizontal="right" vertical="center" wrapText="1"/>
    </xf>
    <xf numFmtId="164" fontId="3" fillId="0" borderId="17" xfId="1" applyNumberFormat="1" applyFont="1" applyBorder="1" applyAlignment="1">
      <alignment horizontal="right" vertical="center" wrapText="1"/>
    </xf>
    <xf numFmtId="164" fontId="3" fillId="0" borderId="19" xfId="2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 applyProtection="1">
      <alignment horizontal="left" vertical="center" wrapText="1"/>
      <protection locked="0"/>
    </xf>
    <xf numFmtId="49" fontId="6" fillId="0" borderId="0" xfId="1" applyNumberFormat="1" applyFont="1" applyAlignment="1">
      <alignment horizontal="left" vertical="center" wrapText="1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</cellXfs>
  <cellStyles count="4">
    <cellStyle name="Normalny" xfId="0" builtinId="0"/>
    <cellStyle name="Normalny 2 2" xfId="3" xr:uid="{00000000-0005-0000-0000-000001000000}"/>
    <cellStyle name="Normalny 4" xfId="2" xr:uid="{00000000-0005-0000-0000-000002000000}"/>
    <cellStyle name="Normalny_bilans_przekształceń" xfId="1" xr:uid="{00000000-0005-0000-0000-000003000000}"/>
  </cellStyles>
  <dxfs count="0"/>
  <tableStyles count="0" defaultTableStyle="TableStyleMedium2" defaultPivotStyle="PivotStyleLight16"/>
  <colors>
    <mruColors>
      <color rgb="FF0062AC"/>
      <color rgb="FF004D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29</xdr:row>
      <xdr:rowOff>1</xdr:rowOff>
    </xdr:from>
    <xdr:to>
      <xdr:col>17</xdr:col>
      <xdr:colOff>514350</xdr:colOff>
      <xdr:row>31</xdr:row>
      <xdr:rowOff>114300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42874" y="6076951"/>
          <a:ext cx="13249276" cy="4952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 Wprowadzenie standardu rachunkowości MSSF 16 leasing spowodowało bardzo duże zmiany w sposobie prezentacji danych zarówno w rachunku zysku i strat, jak i bilansu Spółki i Grupy. </a:t>
          </a:r>
        </a:p>
        <a:p>
          <a:r>
            <a:rPr lang="pl-PL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  Analiza danych finansowych </a:t>
          </a:r>
          <a:r>
            <a:rPr lang="pl-PL" sz="11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bez wpływu MSSF 16 </a:t>
          </a:r>
          <a:r>
            <a:rPr lang="pl-PL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 patrz poniżej) pozwala na porównanie bieżących wyników Spółki i Grupy z wynikami historycznymi, jak i lepiej odzwierciedla bieżącą sytuację operacyjną Spółki i Grupy.</a:t>
          </a:r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28</xdr:col>
      <xdr:colOff>19050</xdr:colOff>
      <xdr:row>25</xdr:row>
      <xdr:rowOff>85725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8364200" y="6076950"/>
          <a:ext cx="421005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** od 4Q2021 zmiana sposobu prezentacji danych finansowych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17</xdr:col>
      <xdr:colOff>571501</xdr:colOff>
      <xdr:row>27</xdr:row>
      <xdr:rowOff>66675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3825" y="4400550"/>
          <a:ext cx="13325476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 Wprowadzenie standardu rachunkowości MSSF 16 leasing spowodowało bardzo duże zmiany w sposobie prezentacji danych zarówno w rachunku zysku i strat, jak i bilansu Spółki i Grupy. </a:t>
          </a:r>
        </a:p>
        <a:p>
          <a:r>
            <a:rPr lang="pl-PL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  Analiza danych finansowych </a:t>
          </a:r>
          <a:r>
            <a:rPr lang="pl-PL" sz="11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bez wpływu MSSF 16 </a:t>
          </a:r>
          <a:r>
            <a:rPr lang="pl-PL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 patrz poniżej) pozwala na porównanie bieżących wyników Spółki i Grupy z wynikami historycznymi, jak i lepiej odzwierciedla bieżącą sytuację operacyjną Spółki i Grupy.</a:t>
          </a:r>
          <a:endParaRPr lang="pl-PL" sz="1100">
            <a:solidFill>
              <a:srgbClr val="FF0000"/>
            </a:solidFill>
          </a:endParaRPr>
        </a:p>
      </xdr:txBody>
    </xdr:sp>
    <xdr:clientData/>
  </xdr:twoCellAnchor>
  <xdr:twoCellAnchor>
    <xdr:from>
      <xdr:col>26</xdr:col>
      <xdr:colOff>0</xdr:colOff>
      <xdr:row>23</xdr:row>
      <xdr:rowOff>0</xdr:rowOff>
    </xdr:from>
    <xdr:to>
      <xdr:col>28</xdr:col>
      <xdr:colOff>590550</xdr:colOff>
      <xdr:row>24</xdr:row>
      <xdr:rowOff>95250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8364200" y="4600575"/>
          <a:ext cx="421005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** od 4Q2021 zmiana sposobu prezentacji danych finansowych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18</xdr:col>
      <xdr:colOff>381001</xdr:colOff>
      <xdr:row>39</xdr:row>
      <xdr:rowOff>66675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23825" y="7010400"/>
          <a:ext cx="13325476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 Wprowadzenie standardu rachunkowości MSSF 16 leasing spowodowało bardzo duże zmiany w sposobie prezentacji danych zarówno w rachunku zysku i strat, jak i bilansu Spółki i Grupy. </a:t>
          </a:r>
        </a:p>
        <a:p>
          <a:r>
            <a:rPr lang="pl-PL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   Analiza danych finansowych </a:t>
          </a:r>
          <a:r>
            <a:rPr lang="pl-PL" sz="11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bez wpływu MSSF 16 </a:t>
          </a:r>
          <a:r>
            <a:rPr lang="pl-PL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 patrz poniżej) pozwala na porównanie bieżących wyników Spółki i Grupy z wynikami historycznymi, jak i lepiej odzwierciedla bieżącą sytuację operacyjną Spółki i Grupy.</a:t>
          </a:r>
          <a:endParaRPr lang="pl-PL" sz="1100">
            <a:solidFill>
              <a:srgbClr val="FF0000"/>
            </a:solidFill>
          </a:endParaRPr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28</xdr:col>
      <xdr:colOff>533400</xdr:colOff>
      <xdr:row>25</xdr:row>
      <xdr:rowOff>85725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7945100" y="4648200"/>
          <a:ext cx="52006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** od 4Q2021 zmiana sposobu prezentacji danych finansowych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46</xdr:row>
      <xdr:rowOff>0</xdr:rowOff>
    </xdr:from>
    <xdr:to>
      <xdr:col>26</xdr:col>
      <xdr:colOff>5200650</xdr:colOff>
      <xdr:row>47</xdr:row>
      <xdr:rowOff>66675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8840450" y="9201150"/>
          <a:ext cx="520065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** od 4Q2021 zmiana sposobu prezentacji danych finansowych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N60"/>
  <sheetViews>
    <sheetView tabSelected="1" topLeftCell="X1" zoomScale="70" zoomScaleNormal="70" workbookViewId="0">
      <selection activeCell="AO13" sqref="AO13"/>
    </sheetView>
  </sheetViews>
  <sheetFormatPr defaultColWidth="9.1796875" defaultRowHeight="14.5" x14ac:dyDescent="0.35"/>
  <cols>
    <col min="1" max="1" width="2" style="14" customWidth="1"/>
    <col min="2" max="2" width="54" style="14" customWidth="1"/>
    <col min="3" max="26" width="9.1796875" style="14"/>
    <col min="27" max="27" width="53.81640625" style="14" customWidth="1"/>
    <col min="28" max="16384" width="9.1796875" style="14"/>
  </cols>
  <sheetData>
    <row r="1" spans="2:40" ht="21" x14ac:dyDescent="0.5">
      <c r="B1" s="97" t="s">
        <v>159</v>
      </c>
    </row>
    <row r="2" spans="2:40" ht="15" thickBot="1" x14ac:dyDescent="0.4">
      <c r="B2" s="75" t="s">
        <v>160</v>
      </c>
    </row>
    <row r="3" spans="2:40" x14ac:dyDescent="0.35">
      <c r="C3" s="281">
        <v>2016</v>
      </c>
      <c r="D3" s="282"/>
      <c r="E3" s="282"/>
      <c r="F3" s="283"/>
      <c r="G3" s="281">
        <v>2017</v>
      </c>
      <c r="H3" s="282"/>
      <c r="I3" s="282"/>
      <c r="J3" s="283"/>
      <c r="K3" s="281">
        <v>2018</v>
      </c>
      <c r="L3" s="282"/>
      <c r="M3" s="282"/>
      <c r="N3" s="283"/>
      <c r="O3" s="279">
        <v>2019</v>
      </c>
      <c r="P3" s="280"/>
      <c r="Q3" s="280"/>
      <c r="R3" s="284"/>
      <c r="S3" s="279">
        <v>2020</v>
      </c>
      <c r="T3" s="280"/>
      <c r="U3" s="280"/>
      <c r="V3" s="284"/>
      <c r="W3" s="279">
        <v>2021</v>
      </c>
      <c r="X3" s="280"/>
      <c r="Y3" s="280"/>
      <c r="AB3" s="193">
        <v>2020</v>
      </c>
      <c r="AC3" s="193" t="s">
        <v>180</v>
      </c>
      <c r="AD3" s="193">
        <v>2022</v>
      </c>
      <c r="AE3" s="193">
        <v>2022</v>
      </c>
      <c r="AF3" s="193">
        <v>2022</v>
      </c>
      <c r="AG3" s="193">
        <v>2022</v>
      </c>
      <c r="AH3" s="193">
        <v>2023</v>
      </c>
      <c r="AI3" s="193">
        <v>2023</v>
      </c>
      <c r="AJ3" s="193">
        <v>2023</v>
      </c>
      <c r="AK3" s="193">
        <v>2023</v>
      </c>
      <c r="AL3" s="193">
        <v>2024</v>
      </c>
      <c r="AM3" s="193">
        <v>2024</v>
      </c>
      <c r="AN3" s="193">
        <v>2024</v>
      </c>
    </row>
    <row r="4" spans="2:40" x14ac:dyDescent="0.35">
      <c r="B4" s="14" t="s">
        <v>158</v>
      </c>
      <c r="C4" s="54" t="s">
        <v>115</v>
      </c>
      <c r="D4" s="55" t="s">
        <v>116</v>
      </c>
      <c r="E4" s="55" t="s">
        <v>117</v>
      </c>
      <c r="F4" s="56" t="s">
        <v>118</v>
      </c>
      <c r="G4" s="54" t="s">
        <v>115</v>
      </c>
      <c r="H4" s="55" t="s">
        <v>116</v>
      </c>
      <c r="I4" s="55" t="s">
        <v>117</v>
      </c>
      <c r="J4" s="56" t="s">
        <v>118</v>
      </c>
      <c r="K4" s="54" t="s">
        <v>115</v>
      </c>
      <c r="L4" s="55" t="s">
        <v>116</v>
      </c>
      <c r="M4" s="55" t="s">
        <v>117</v>
      </c>
      <c r="N4" s="56" t="s">
        <v>118</v>
      </c>
      <c r="O4" s="57" t="s">
        <v>115</v>
      </c>
      <c r="P4" s="58" t="s">
        <v>116</v>
      </c>
      <c r="Q4" s="58" t="s">
        <v>117</v>
      </c>
      <c r="R4" s="59" t="s">
        <v>118</v>
      </c>
      <c r="S4" s="57" t="s">
        <v>115</v>
      </c>
      <c r="T4" s="58" t="s">
        <v>116</v>
      </c>
      <c r="U4" s="58" t="s">
        <v>117</v>
      </c>
      <c r="V4" s="59" t="s">
        <v>118</v>
      </c>
      <c r="W4" s="57" t="s">
        <v>115</v>
      </c>
      <c r="X4" s="58" t="s">
        <v>116</v>
      </c>
      <c r="Y4" s="58" t="s">
        <v>117</v>
      </c>
      <c r="AA4" s="14" t="s">
        <v>158</v>
      </c>
      <c r="AB4" s="185" t="s">
        <v>118</v>
      </c>
      <c r="AC4" s="185" t="s">
        <v>118</v>
      </c>
      <c r="AD4" s="185" t="s">
        <v>115</v>
      </c>
      <c r="AE4" s="185" t="s">
        <v>116</v>
      </c>
      <c r="AF4" s="185" t="s">
        <v>117</v>
      </c>
      <c r="AG4" s="185" t="s">
        <v>118</v>
      </c>
      <c r="AH4" s="185" t="s">
        <v>115</v>
      </c>
      <c r="AI4" s="185" t="s">
        <v>116</v>
      </c>
      <c r="AJ4" s="185" t="s">
        <v>117</v>
      </c>
      <c r="AK4" s="185" t="s">
        <v>118</v>
      </c>
      <c r="AL4" s="185" t="s">
        <v>115</v>
      </c>
      <c r="AM4" s="185" t="s">
        <v>116</v>
      </c>
      <c r="AN4" s="185" t="s">
        <v>117</v>
      </c>
    </row>
    <row r="5" spans="2:40" ht="31.5" x14ac:dyDescent="0.35">
      <c r="B5" s="76" t="s">
        <v>177</v>
      </c>
      <c r="C5" s="22" t="s">
        <v>127</v>
      </c>
      <c r="D5" s="1" t="s">
        <v>138</v>
      </c>
      <c r="E5" s="1" t="s">
        <v>146</v>
      </c>
      <c r="F5" s="23" t="s">
        <v>153</v>
      </c>
      <c r="G5" s="22" t="s">
        <v>214</v>
      </c>
      <c r="H5" s="1" t="s">
        <v>136</v>
      </c>
      <c r="I5" s="1" t="s">
        <v>144</v>
      </c>
      <c r="J5" s="23" t="s">
        <v>152</v>
      </c>
      <c r="K5" s="22" t="s">
        <v>122</v>
      </c>
      <c r="L5" s="1" t="s">
        <v>134</v>
      </c>
      <c r="M5" s="1" t="s">
        <v>143</v>
      </c>
      <c r="N5" s="23" t="s">
        <v>151</v>
      </c>
      <c r="O5" s="77" t="s">
        <v>119</v>
      </c>
      <c r="P5" s="62" t="s">
        <v>131</v>
      </c>
      <c r="Q5" s="62" t="s">
        <v>141</v>
      </c>
      <c r="R5" s="78" t="s">
        <v>150</v>
      </c>
      <c r="S5" s="77" t="s">
        <v>111</v>
      </c>
      <c r="T5" s="62" t="s">
        <v>130</v>
      </c>
      <c r="U5" s="62" t="s">
        <v>140</v>
      </c>
      <c r="V5" s="78" t="s">
        <v>149</v>
      </c>
      <c r="W5" s="77" t="s">
        <v>110</v>
      </c>
      <c r="X5" s="79" t="s">
        <v>156</v>
      </c>
      <c r="Y5" s="79" t="s">
        <v>157</v>
      </c>
      <c r="AA5" s="76" t="s">
        <v>177</v>
      </c>
      <c r="AB5" s="186" t="s">
        <v>149</v>
      </c>
      <c r="AC5" s="186" t="s">
        <v>155</v>
      </c>
      <c r="AD5" s="186" t="s">
        <v>196</v>
      </c>
      <c r="AE5" s="186" t="s">
        <v>198</v>
      </c>
      <c r="AF5" s="186" t="s">
        <v>202</v>
      </c>
      <c r="AG5" s="186" t="s">
        <v>203</v>
      </c>
      <c r="AH5" s="186" t="s">
        <v>204</v>
      </c>
      <c r="AI5" s="186" t="s">
        <v>207</v>
      </c>
      <c r="AJ5" s="186" t="s">
        <v>209</v>
      </c>
      <c r="AK5" s="186" t="s">
        <v>211</v>
      </c>
      <c r="AL5" s="186" t="s">
        <v>215</v>
      </c>
      <c r="AM5" s="186" t="s">
        <v>218</v>
      </c>
      <c r="AN5" s="186" t="s">
        <v>221</v>
      </c>
    </row>
    <row r="6" spans="2:40" ht="15.75" customHeight="1" x14ac:dyDescent="0.35">
      <c r="B6" s="8" t="s">
        <v>0</v>
      </c>
      <c r="C6" s="24">
        <f>SUM(C7:C9)</f>
        <v>65204372.0299998</v>
      </c>
      <c r="D6" s="2">
        <f t="shared" ref="D6:W6" si="0">SUM(D7:D9)</f>
        <v>132987139</v>
      </c>
      <c r="E6" s="2">
        <f t="shared" si="0"/>
        <v>200479026.35000113</v>
      </c>
      <c r="F6" s="25">
        <f t="shared" si="0"/>
        <v>271627552.56000197</v>
      </c>
      <c r="G6" s="24">
        <f t="shared" si="0"/>
        <v>75950276.449999899</v>
      </c>
      <c r="H6" s="2">
        <f t="shared" si="0"/>
        <v>154686195.99000001</v>
      </c>
      <c r="I6" s="2">
        <f t="shared" si="0"/>
        <v>234569724</v>
      </c>
      <c r="J6" s="25">
        <f t="shared" si="0"/>
        <v>319781954.92999899</v>
      </c>
      <c r="K6" s="24">
        <f t="shared" si="0"/>
        <v>89457122</v>
      </c>
      <c r="L6" s="2">
        <f t="shared" si="0"/>
        <v>179952183</v>
      </c>
      <c r="M6" s="2">
        <f t="shared" si="0"/>
        <v>271261904</v>
      </c>
      <c r="N6" s="25">
        <f t="shared" si="0"/>
        <v>369037943</v>
      </c>
      <c r="O6" s="64">
        <f t="shared" si="0"/>
        <v>101293898.45999999</v>
      </c>
      <c r="P6" s="65">
        <f t="shared" si="0"/>
        <v>203729283</v>
      </c>
      <c r="Q6" s="65">
        <f t="shared" si="0"/>
        <v>307826508</v>
      </c>
      <c r="R6" s="66">
        <f t="shared" si="0"/>
        <v>417517937</v>
      </c>
      <c r="S6" s="64">
        <f t="shared" si="0"/>
        <v>107569631</v>
      </c>
      <c r="T6" s="65">
        <f t="shared" si="0"/>
        <v>196056707</v>
      </c>
      <c r="U6" s="65">
        <f t="shared" si="0"/>
        <v>297587499</v>
      </c>
      <c r="V6" s="66">
        <f t="shared" si="0"/>
        <v>399734317</v>
      </c>
      <c r="W6" s="64">
        <f t="shared" si="0"/>
        <v>105962135</v>
      </c>
      <c r="X6" s="80">
        <f t="shared" ref="X6" si="1">SUM(X7:X9)</f>
        <v>215276784</v>
      </c>
      <c r="Y6" s="80">
        <f t="shared" ref="Y6" si="2">SUM(Y7:Y9)</f>
        <v>324551981</v>
      </c>
      <c r="AA6" s="8" t="s">
        <v>178</v>
      </c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194"/>
      <c r="AM6" s="194"/>
      <c r="AN6" s="194"/>
    </row>
    <row r="7" spans="2:40" ht="15.75" customHeight="1" x14ac:dyDescent="0.35">
      <c r="B7" s="17" t="s">
        <v>1</v>
      </c>
      <c r="C7" s="26"/>
      <c r="D7" s="3"/>
      <c r="E7" s="27"/>
      <c r="F7" s="28"/>
      <c r="G7" s="26"/>
      <c r="H7" s="3"/>
      <c r="I7" s="27"/>
      <c r="J7" s="28"/>
      <c r="K7" s="26"/>
      <c r="L7" s="3"/>
      <c r="M7" s="27"/>
      <c r="N7" s="28"/>
      <c r="O7" s="72"/>
      <c r="P7" s="71"/>
      <c r="Q7" s="81"/>
      <c r="R7" s="82"/>
      <c r="S7" s="72"/>
      <c r="T7" s="71"/>
      <c r="U7" s="81"/>
      <c r="V7" s="82"/>
      <c r="W7" s="72"/>
      <c r="X7" s="83"/>
      <c r="Y7" s="83"/>
      <c r="AA7" s="8" t="s">
        <v>0</v>
      </c>
      <c r="AB7" s="188">
        <v>399734317</v>
      </c>
      <c r="AC7" s="188">
        <v>441139927</v>
      </c>
      <c r="AD7" s="188">
        <v>115137028</v>
      </c>
      <c r="AE7" s="188">
        <v>235046469</v>
      </c>
      <c r="AF7" s="188">
        <v>358725550</v>
      </c>
      <c r="AG7" s="188">
        <v>493541039</v>
      </c>
      <c r="AH7" s="188">
        <v>141234265</v>
      </c>
      <c r="AI7" s="188">
        <v>295927513</v>
      </c>
      <c r="AJ7" s="188">
        <v>452083017</v>
      </c>
      <c r="AK7" s="188">
        <v>616765502.8099947</v>
      </c>
      <c r="AL7" s="188">
        <v>177443357</v>
      </c>
      <c r="AM7" s="188">
        <v>359236564.93999684</v>
      </c>
      <c r="AN7" s="188">
        <v>543635942</v>
      </c>
    </row>
    <row r="8" spans="2:40" ht="15.75" customHeight="1" x14ac:dyDescent="0.35">
      <c r="B8" s="17" t="s">
        <v>2</v>
      </c>
      <c r="C8" s="26">
        <v>65076249.0299998</v>
      </c>
      <c r="D8" s="3">
        <v>132746068</v>
      </c>
      <c r="E8" s="3">
        <v>200134124.35000113</v>
      </c>
      <c r="F8" s="29">
        <v>271172660.66000199</v>
      </c>
      <c r="G8" s="26">
        <v>75824353.049999893</v>
      </c>
      <c r="H8" s="3">
        <v>154418672</v>
      </c>
      <c r="I8" s="3">
        <v>234171466</v>
      </c>
      <c r="J8" s="29">
        <v>319244545.88999897</v>
      </c>
      <c r="K8" s="26">
        <v>89322571</v>
      </c>
      <c r="L8" s="3">
        <v>179677119</v>
      </c>
      <c r="M8" s="3">
        <v>270848696</v>
      </c>
      <c r="N8" s="29">
        <v>368471914</v>
      </c>
      <c r="O8" s="72">
        <v>101109494.33</v>
      </c>
      <c r="P8" s="71">
        <v>203338699</v>
      </c>
      <c r="Q8" s="71">
        <v>307207144</v>
      </c>
      <c r="R8" s="73">
        <v>416568367</v>
      </c>
      <c r="S8" s="72">
        <v>107333229</v>
      </c>
      <c r="T8" s="71">
        <v>195722888</v>
      </c>
      <c r="U8" s="71">
        <v>297021107</v>
      </c>
      <c r="V8" s="73">
        <v>398918655</v>
      </c>
      <c r="W8" s="72">
        <v>105759316</v>
      </c>
      <c r="X8" s="83">
        <v>214875448</v>
      </c>
      <c r="Y8" s="83">
        <v>323954342</v>
      </c>
      <c r="AA8" s="8" t="s">
        <v>179</v>
      </c>
      <c r="AB8" s="195">
        <v>367717192</v>
      </c>
      <c r="AC8" s="195">
        <f>440562127-AC11-AC12</f>
        <v>417352683</v>
      </c>
      <c r="AD8" s="195">
        <v>114109762</v>
      </c>
      <c r="AE8" s="195">
        <v>235036525</v>
      </c>
      <c r="AF8" s="195">
        <v>353169681</v>
      </c>
      <c r="AG8" s="195">
        <v>480552917</v>
      </c>
      <c r="AH8" s="195">
        <v>140711625</v>
      </c>
      <c r="AI8" s="195">
        <v>285453491.32999998</v>
      </c>
      <c r="AJ8" s="195">
        <v>433033327</v>
      </c>
      <c r="AK8" s="195">
        <v>589426311.27000082</v>
      </c>
      <c r="AL8" s="195">
        <v>167393179.17000002</v>
      </c>
      <c r="AM8" s="188">
        <v>335695048.94999999</v>
      </c>
      <c r="AN8" s="188">
        <v>500619359.39000005</v>
      </c>
    </row>
    <row r="9" spans="2:40" ht="15.75" customHeight="1" x14ac:dyDescent="0.35">
      <c r="B9" s="17" t="s">
        <v>3</v>
      </c>
      <c r="C9" s="26">
        <v>128123</v>
      </c>
      <c r="D9" s="3">
        <v>241071</v>
      </c>
      <c r="E9" s="3">
        <v>344902</v>
      </c>
      <c r="F9" s="29">
        <v>454891.9000000002</v>
      </c>
      <c r="G9" s="26">
        <v>125923.39999999998</v>
      </c>
      <c r="H9" s="3">
        <v>267523.99000000005</v>
      </c>
      <c r="I9" s="3">
        <v>398258</v>
      </c>
      <c r="J9" s="29">
        <v>537409.0400000012</v>
      </c>
      <c r="K9" s="26">
        <v>134551</v>
      </c>
      <c r="L9" s="3">
        <v>275064</v>
      </c>
      <c r="M9" s="3">
        <v>413208</v>
      </c>
      <c r="N9" s="29">
        <v>566029</v>
      </c>
      <c r="O9" s="72">
        <v>184404.13</v>
      </c>
      <c r="P9" s="71">
        <v>390584</v>
      </c>
      <c r="Q9" s="71">
        <v>619364</v>
      </c>
      <c r="R9" s="73">
        <v>949570</v>
      </c>
      <c r="S9" s="72">
        <v>236402</v>
      </c>
      <c r="T9" s="71">
        <v>333819</v>
      </c>
      <c r="U9" s="71">
        <v>566392</v>
      </c>
      <c r="V9" s="73">
        <v>815662</v>
      </c>
      <c r="W9" s="72">
        <v>202819</v>
      </c>
      <c r="X9" s="83">
        <v>401336</v>
      </c>
      <c r="Y9" s="83">
        <v>597639</v>
      </c>
      <c r="AA9" s="18" t="s">
        <v>7</v>
      </c>
      <c r="AB9" s="196">
        <f>AB7-AB8</f>
        <v>32017125</v>
      </c>
      <c r="AC9" s="196">
        <f>AC7-AC8</f>
        <v>23787244</v>
      </c>
      <c r="AD9" s="196">
        <f>AD7-AD8</f>
        <v>1027266</v>
      </c>
      <c r="AE9" s="196">
        <f t="shared" ref="AE9:AJ9" si="3">AE7-AE8</f>
        <v>9944</v>
      </c>
      <c r="AF9" s="196">
        <f t="shared" si="3"/>
        <v>5555869</v>
      </c>
      <c r="AG9" s="196">
        <f t="shared" si="3"/>
        <v>12988122</v>
      </c>
      <c r="AH9" s="196">
        <f t="shared" si="3"/>
        <v>522640</v>
      </c>
      <c r="AI9" s="196">
        <f t="shared" si="3"/>
        <v>10474021.670000017</v>
      </c>
      <c r="AJ9" s="196">
        <f t="shared" si="3"/>
        <v>19049690</v>
      </c>
      <c r="AK9" s="196">
        <f t="shared" ref="AK9:AL9" si="4">AK7-AK8</f>
        <v>27339191.539993882</v>
      </c>
      <c r="AL9" s="196">
        <f t="shared" si="4"/>
        <v>10050177.829999983</v>
      </c>
      <c r="AM9" s="196">
        <f t="shared" ref="AM9:AN9" si="5">AM7-AM8</f>
        <v>23541515.98999685</v>
      </c>
      <c r="AN9" s="196">
        <f t="shared" si="5"/>
        <v>43016582.609999955</v>
      </c>
    </row>
    <row r="10" spans="2:40" ht="15.75" customHeight="1" x14ac:dyDescent="0.35">
      <c r="B10" s="8" t="s">
        <v>4</v>
      </c>
      <c r="C10" s="30">
        <f>SUM(C11:C12)</f>
        <v>61000709.920000002</v>
      </c>
      <c r="D10" s="4">
        <f t="shared" ref="D10:W10" si="6">SUM(D11:D12)</f>
        <v>122218948.19</v>
      </c>
      <c r="E10" s="4">
        <f t="shared" si="6"/>
        <v>181194339.86999938</v>
      </c>
      <c r="F10" s="31">
        <f t="shared" si="6"/>
        <v>248168622.28</v>
      </c>
      <c r="G10" s="30">
        <f t="shared" si="6"/>
        <v>69966053.839999929</v>
      </c>
      <c r="H10" s="4">
        <f t="shared" si="6"/>
        <v>141584681.19999972</v>
      </c>
      <c r="I10" s="4">
        <f t="shared" si="6"/>
        <v>214562625.75999999</v>
      </c>
      <c r="J10" s="31">
        <f t="shared" si="6"/>
        <v>300541873.51000118</v>
      </c>
      <c r="K10" s="30">
        <f t="shared" si="6"/>
        <v>83522403</v>
      </c>
      <c r="L10" s="4">
        <f t="shared" si="6"/>
        <v>170554303</v>
      </c>
      <c r="M10" s="4">
        <f t="shared" si="6"/>
        <v>253963191</v>
      </c>
      <c r="N10" s="31">
        <f t="shared" si="6"/>
        <v>345029621</v>
      </c>
      <c r="O10" s="84">
        <f t="shared" si="6"/>
        <v>96997696</v>
      </c>
      <c r="P10" s="85">
        <f t="shared" si="6"/>
        <v>194750052</v>
      </c>
      <c r="Q10" s="85">
        <f t="shared" si="6"/>
        <v>293299460</v>
      </c>
      <c r="R10" s="86">
        <f t="shared" si="6"/>
        <v>392378166</v>
      </c>
      <c r="S10" s="84">
        <f t="shared" si="6"/>
        <v>103147409</v>
      </c>
      <c r="T10" s="85">
        <f t="shared" si="6"/>
        <v>180684255</v>
      </c>
      <c r="U10" s="85">
        <f t="shared" si="6"/>
        <v>273735450</v>
      </c>
      <c r="V10" s="86">
        <f t="shared" si="6"/>
        <v>367717192</v>
      </c>
      <c r="W10" s="84">
        <f t="shared" si="6"/>
        <v>100185365</v>
      </c>
      <c r="X10" s="87">
        <f t="shared" ref="X10" si="7">SUM(X11:X12)</f>
        <v>208948440</v>
      </c>
      <c r="Y10" s="87">
        <f t="shared" ref="Y10" si="8">SUM(Y11:Y12)</f>
        <v>306452485</v>
      </c>
      <c r="AA10" s="19" t="s">
        <v>9</v>
      </c>
      <c r="AB10" s="189">
        <v>6986275</v>
      </c>
      <c r="AC10" s="189">
        <v>7337373</v>
      </c>
      <c r="AD10" s="189">
        <v>3871591</v>
      </c>
      <c r="AE10" s="189">
        <v>3808090</v>
      </c>
      <c r="AF10" s="189">
        <v>5382512</v>
      </c>
      <c r="AG10" s="189">
        <v>8102166</v>
      </c>
      <c r="AH10" s="189">
        <v>1210904</v>
      </c>
      <c r="AI10" s="189">
        <v>4713005.47</v>
      </c>
      <c r="AJ10" s="189">
        <v>10071594.33</v>
      </c>
      <c r="AK10" s="189">
        <v>14779381.35</v>
      </c>
      <c r="AL10" s="189">
        <v>552734</v>
      </c>
      <c r="AM10" s="189">
        <v>935895.68000000063</v>
      </c>
      <c r="AN10" s="189">
        <v>5981874</v>
      </c>
    </row>
    <row r="11" spans="2:40" ht="15.75" customHeight="1" x14ac:dyDescent="0.35">
      <c r="B11" s="17" t="s">
        <v>5</v>
      </c>
      <c r="C11" s="32">
        <v>60932307.920000002</v>
      </c>
      <c r="D11" s="5">
        <v>122098488.19</v>
      </c>
      <c r="E11" s="5">
        <v>181015686.86999938</v>
      </c>
      <c r="F11" s="33">
        <v>247927903.28</v>
      </c>
      <c r="G11" s="32">
        <v>69913690.839999929</v>
      </c>
      <c r="H11" s="5">
        <v>141440513.19999972</v>
      </c>
      <c r="I11" s="5">
        <v>214317671.75999999</v>
      </c>
      <c r="J11" s="33">
        <v>300167433.00000119</v>
      </c>
      <c r="K11" s="32">
        <v>83432968</v>
      </c>
      <c r="L11" s="5">
        <v>170371128</v>
      </c>
      <c r="M11" s="5">
        <v>253681796</v>
      </c>
      <c r="N11" s="33">
        <v>344588428</v>
      </c>
      <c r="O11" s="67">
        <v>96891642</v>
      </c>
      <c r="P11" s="68">
        <v>194523035</v>
      </c>
      <c r="Q11" s="68">
        <v>292910290</v>
      </c>
      <c r="R11" s="69">
        <v>391713375</v>
      </c>
      <c r="S11" s="67">
        <v>103009428</v>
      </c>
      <c r="T11" s="68">
        <v>180479928</v>
      </c>
      <c r="U11" s="68">
        <v>273377285</v>
      </c>
      <c r="V11" s="69">
        <v>367107429</v>
      </c>
      <c r="W11" s="67">
        <v>100067648</v>
      </c>
      <c r="X11" s="88">
        <v>208697690</v>
      </c>
      <c r="Y11" s="88">
        <v>306049949</v>
      </c>
      <c r="AA11" s="19" t="s">
        <v>10</v>
      </c>
      <c r="AB11" s="190">
        <v>12639948</v>
      </c>
      <c r="AC11" s="190">
        <v>14564239</v>
      </c>
      <c r="AD11" s="190">
        <v>4837940</v>
      </c>
      <c r="AE11" s="190">
        <v>12145057</v>
      </c>
      <c r="AF11" s="190">
        <v>19398044</v>
      </c>
      <c r="AG11" s="190">
        <v>27192827.420000002</v>
      </c>
      <c r="AH11" s="190">
        <v>5247636</v>
      </c>
      <c r="AI11" s="190">
        <v>11468573.819999991</v>
      </c>
      <c r="AJ11" s="190">
        <v>17668517</v>
      </c>
      <c r="AK11" s="190">
        <v>23594224.639999889</v>
      </c>
      <c r="AL11" s="190">
        <v>5498769.040000001</v>
      </c>
      <c r="AM11" s="189">
        <v>11031622.179999979</v>
      </c>
      <c r="AN11" s="189">
        <v>16517531.24999995</v>
      </c>
    </row>
    <row r="12" spans="2:40" ht="15.75" customHeight="1" x14ac:dyDescent="0.35">
      <c r="B12" s="17" t="s">
        <v>6</v>
      </c>
      <c r="C12" s="26">
        <v>68402</v>
      </c>
      <c r="D12" s="3">
        <v>120460</v>
      </c>
      <c r="E12" s="3">
        <v>178653</v>
      </c>
      <c r="F12" s="29">
        <v>240719</v>
      </c>
      <c r="G12" s="26">
        <v>52363</v>
      </c>
      <c r="H12" s="3">
        <v>144168</v>
      </c>
      <c r="I12" s="3">
        <v>244954</v>
      </c>
      <c r="J12" s="29">
        <v>374440.50999999995</v>
      </c>
      <c r="K12" s="26">
        <v>89435</v>
      </c>
      <c r="L12" s="3">
        <v>183175</v>
      </c>
      <c r="M12" s="3">
        <v>281395</v>
      </c>
      <c r="N12" s="29">
        <v>441193</v>
      </c>
      <c r="O12" s="72">
        <v>106054</v>
      </c>
      <c r="P12" s="71">
        <v>227017</v>
      </c>
      <c r="Q12" s="71">
        <v>389170</v>
      </c>
      <c r="R12" s="73">
        <v>664791</v>
      </c>
      <c r="S12" s="72">
        <v>137981</v>
      </c>
      <c r="T12" s="71">
        <v>204327</v>
      </c>
      <c r="U12" s="71">
        <v>358165</v>
      </c>
      <c r="V12" s="73">
        <v>609763</v>
      </c>
      <c r="W12" s="72">
        <v>117717</v>
      </c>
      <c r="X12" s="83">
        <v>250750</v>
      </c>
      <c r="Y12" s="83">
        <v>402536</v>
      </c>
      <c r="AA12" s="19" t="s">
        <v>11</v>
      </c>
      <c r="AB12" s="190">
        <v>6987784</v>
      </c>
      <c r="AC12" s="190">
        <v>8645205</v>
      </c>
      <c r="AD12" s="190">
        <v>2270081</v>
      </c>
      <c r="AE12" s="190">
        <v>4700037</v>
      </c>
      <c r="AF12" s="190">
        <v>7027009</v>
      </c>
      <c r="AG12" s="190">
        <v>9319620.6099999994</v>
      </c>
      <c r="AH12" s="190">
        <v>2130704</v>
      </c>
      <c r="AI12" s="190">
        <v>4504087.8499999996</v>
      </c>
      <c r="AJ12" s="190">
        <v>6884191</v>
      </c>
      <c r="AK12" s="190">
        <v>9310369.0100000016</v>
      </c>
      <c r="AL12" s="190">
        <v>2621316.7899999996</v>
      </c>
      <c r="AM12" s="189">
        <v>5194059.87</v>
      </c>
      <c r="AN12" s="189">
        <v>8173462.3599999994</v>
      </c>
    </row>
    <row r="13" spans="2:40" ht="15.75" customHeight="1" x14ac:dyDescent="0.35">
      <c r="B13" s="18" t="s">
        <v>7</v>
      </c>
      <c r="C13" s="34">
        <f>C6-C10</f>
        <v>4203662.1099997982</v>
      </c>
      <c r="D13" s="6">
        <f t="shared" ref="D13:W13" si="9">D6-D10</f>
        <v>10768190.810000002</v>
      </c>
      <c r="E13" s="6">
        <f t="shared" si="9"/>
        <v>19284686.480001748</v>
      </c>
      <c r="F13" s="35">
        <f t="shared" si="9"/>
        <v>23458930.280001968</v>
      </c>
      <c r="G13" s="34">
        <f t="shared" si="9"/>
        <v>5984222.6099999696</v>
      </c>
      <c r="H13" s="6">
        <f t="shared" si="9"/>
        <v>13101514.79000029</v>
      </c>
      <c r="I13" s="6">
        <f t="shared" si="9"/>
        <v>20007098.24000001</v>
      </c>
      <c r="J13" s="35">
        <f t="shared" si="9"/>
        <v>19240081.419997811</v>
      </c>
      <c r="K13" s="34">
        <f t="shared" si="9"/>
        <v>5934719</v>
      </c>
      <c r="L13" s="6">
        <f t="shared" si="9"/>
        <v>9397880</v>
      </c>
      <c r="M13" s="6">
        <f t="shared" si="9"/>
        <v>17298713</v>
      </c>
      <c r="N13" s="35">
        <f t="shared" si="9"/>
        <v>24008322</v>
      </c>
      <c r="O13" s="89">
        <f t="shared" si="9"/>
        <v>4296202.4599999934</v>
      </c>
      <c r="P13" s="90">
        <f t="shared" si="9"/>
        <v>8979231</v>
      </c>
      <c r="Q13" s="90">
        <f t="shared" si="9"/>
        <v>14527048</v>
      </c>
      <c r="R13" s="91">
        <f t="shared" si="9"/>
        <v>25139771</v>
      </c>
      <c r="S13" s="89">
        <f t="shared" si="9"/>
        <v>4422222</v>
      </c>
      <c r="T13" s="90">
        <f t="shared" si="9"/>
        <v>15372452</v>
      </c>
      <c r="U13" s="90">
        <f t="shared" si="9"/>
        <v>23852049</v>
      </c>
      <c r="V13" s="91">
        <f t="shared" si="9"/>
        <v>32017125</v>
      </c>
      <c r="W13" s="89">
        <f t="shared" si="9"/>
        <v>5776770</v>
      </c>
      <c r="X13" s="92">
        <f t="shared" ref="X13:Y13" si="10">X6-X10</f>
        <v>6328344</v>
      </c>
      <c r="Y13" s="92">
        <f t="shared" si="10"/>
        <v>18099496</v>
      </c>
      <c r="AA13" s="19" t="s">
        <v>13</v>
      </c>
      <c r="AB13" s="190">
        <f>1742370</f>
        <v>1742370</v>
      </c>
      <c r="AC13" s="190">
        <f>1437160</f>
        <v>1437160</v>
      </c>
      <c r="AD13" s="190">
        <v>2514990</v>
      </c>
      <c r="AE13" s="190">
        <v>2091773</v>
      </c>
      <c r="AF13" s="190">
        <v>2330591</v>
      </c>
      <c r="AG13" s="190">
        <v>2824528</v>
      </c>
      <c r="AH13" s="190">
        <v>246389</v>
      </c>
      <c r="AI13" s="190">
        <v>480278.47</v>
      </c>
      <c r="AJ13" s="190">
        <v>756328.33000000007</v>
      </c>
      <c r="AK13" s="190">
        <v>4842499.1199999992</v>
      </c>
      <c r="AL13" s="190">
        <v>176065</v>
      </c>
      <c r="AM13" s="189">
        <v>893363.40000000037</v>
      </c>
      <c r="AN13" s="189">
        <v>950476</v>
      </c>
    </row>
    <row r="14" spans="2:40" ht="15.75" customHeight="1" x14ac:dyDescent="0.35">
      <c r="B14" s="17" t="s">
        <v>8</v>
      </c>
      <c r="C14" s="34"/>
      <c r="D14" s="6"/>
      <c r="E14" s="6"/>
      <c r="F14" s="35"/>
      <c r="G14" s="34"/>
      <c r="H14" s="6"/>
      <c r="I14" s="6"/>
      <c r="J14" s="35"/>
      <c r="K14" s="34"/>
      <c r="L14" s="6"/>
      <c r="M14" s="6"/>
      <c r="N14" s="35"/>
      <c r="O14" s="89"/>
      <c r="P14" s="90"/>
      <c r="Q14" s="90"/>
      <c r="R14" s="69"/>
      <c r="S14" s="89"/>
      <c r="T14" s="90"/>
      <c r="U14" s="90"/>
      <c r="V14" s="69"/>
      <c r="W14" s="89"/>
      <c r="X14" s="92"/>
      <c r="Y14" s="92"/>
      <c r="AA14" s="18" t="s">
        <v>14</v>
      </c>
      <c r="AB14" s="196">
        <f t="shared" ref="AB14:AJ14" si="11">AB9+AB10-AB11-AB12-AB13</f>
        <v>17633298</v>
      </c>
      <c r="AC14" s="196">
        <f t="shared" si="11"/>
        <v>6478013</v>
      </c>
      <c r="AD14" s="196">
        <f t="shared" si="11"/>
        <v>-4724154</v>
      </c>
      <c r="AE14" s="196">
        <f t="shared" si="11"/>
        <v>-15118833</v>
      </c>
      <c r="AF14" s="196">
        <f t="shared" si="11"/>
        <v>-17817263</v>
      </c>
      <c r="AG14" s="196">
        <f t="shared" si="11"/>
        <v>-18246688.030000001</v>
      </c>
      <c r="AH14" s="196">
        <f t="shared" si="11"/>
        <v>-5891185</v>
      </c>
      <c r="AI14" s="196">
        <f t="shared" si="11"/>
        <v>-1265912.9999999751</v>
      </c>
      <c r="AJ14" s="196">
        <f t="shared" si="11"/>
        <v>3812247.9999999981</v>
      </c>
      <c r="AK14" s="196">
        <f t="shared" ref="AK14:AL14" si="12">AK9+AK10-AK11-AK12-AK13</f>
        <v>4371480.119993994</v>
      </c>
      <c r="AL14" s="196">
        <f t="shared" si="12"/>
        <v>2306760.9999999828</v>
      </c>
      <c r="AM14" s="196">
        <f t="shared" ref="AM14:AN14" si="13">AM9+AM10-AM11-AM12-AM13</f>
        <v>7358366.2199968705</v>
      </c>
      <c r="AN14" s="196">
        <f t="shared" si="13"/>
        <v>23356987.000000007</v>
      </c>
    </row>
    <row r="15" spans="2:40" ht="15.75" customHeight="1" x14ac:dyDescent="0.35">
      <c r="B15" s="19" t="s">
        <v>9</v>
      </c>
      <c r="C15" s="32">
        <v>131974.9</v>
      </c>
      <c r="D15" s="5">
        <v>346069</v>
      </c>
      <c r="E15" s="5">
        <v>603931.7899999998</v>
      </c>
      <c r="F15" s="33">
        <v>936991.19</v>
      </c>
      <c r="G15" s="32">
        <v>277612.33999999997</v>
      </c>
      <c r="H15" s="5">
        <v>728906.58000000007</v>
      </c>
      <c r="I15" s="5">
        <v>1170233</v>
      </c>
      <c r="J15" s="33">
        <v>1558130.75</v>
      </c>
      <c r="K15" s="32">
        <v>367021</v>
      </c>
      <c r="L15" s="5">
        <v>875752</v>
      </c>
      <c r="M15" s="5">
        <v>1166350</v>
      </c>
      <c r="N15" s="33">
        <v>1757757.79</v>
      </c>
      <c r="O15" s="67">
        <v>250113</v>
      </c>
      <c r="P15" s="68">
        <v>985169</v>
      </c>
      <c r="Q15" s="68">
        <v>1559499</v>
      </c>
      <c r="R15" s="69">
        <v>2436927</v>
      </c>
      <c r="S15" s="67">
        <v>609202</v>
      </c>
      <c r="T15" s="68">
        <v>3302792</v>
      </c>
      <c r="U15" s="68">
        <v>5364385</v>
      </c>
      <c r="V15" s="69">
        <v>6986275</v>
      </c>
      <c r="W15" s="67">
        <v>876850</v>
      </c>
      <c r="X15" s="88">
        <v>2686135</v>
      </c>
      <c r="Y15" s="88">
        <v>3343426</v>
      </c>
      <c r="AA15" s="19" t="s">
        <v>15</v>
      </c>
      <c r="AB15" s="189">
        <v>146734</v>
      </c>
      <c r="AC15" s="189">
        <v>622180</v>
      </c>
      <c r="AD15" s="189">
        <v>80503</v>
      </c>
      <c r="AE15" s="189">
        <v>389263</v>
      </c>
      <c r="AF15" s="189">
        <v>532444</v>
      </c>
      <c r="AG15" s="189">
        <v>581867</v>
      </c>
      <c r="AH15" s="189">
        <v>660723</v>
      </c>
      <c r="AI15" s="189">
        <v>10595772</v>
      </c>
      <c r="AJ15" s="189">
        <v>2566133</v>
      </c>
      <c r="AK15" s="189">
        <v>14705016.280000001</v>
      </c>
      <c r="AL15" s="189">
        <v>2013455</v>
      </c>
      <c r="AM15" s="189">
        <v>1670519.35</v>
      </c>
      <c r="AN15" s="189">
        <v>3408147</v>
      </c>
    </row>
    <row r="16" spans="2:40" ht="15.75" customHeight="1" x14ac:dyDescent="0.35">
      <c r="B16" s="19" t="s">
        <v>10</v>
      </c>
      <c r="C16" s="26">
        <v>2368710</v>
      </c>
      <c r="D16" s="3">
        <v>4818335</v>
      </c>
      <c r="E16" s="3">
        <v>7092089</v>
      </c>
      <c r="F16" s="29">
        <v>9482629.0099999998</v>
      </c>
      <c r="G16" s="26">
        <v>2444247.4800000004</v>
      </c>
      <c r="H16" s="3">
        <v>5671815.21</v>
      </c>
      <c r="I16" s="3">
        <v>8488213.0899999999</v>
      </c>
      <c r="J16" s="29">
        <v>11701672</v>
      </c>
      <c r="K16" s="26">
        <v>2878225</v>
      </c>
      <c r="L16" s="3">
        <v>6338194</v>
      </c>
      <c r="M16" s="3">
        <v>9608867</v>
      </c>
      <c r="N16" s="29">
        <v>13043810</v>
      </c>
      <c r="O16" s="72">
        <v>2865350</v>
      </c>
      <c r="P16" s="71">
        <v>6195146</v>
      </c>
      <c r="Q16" s="71">
        <v>9226159</v>
      </c>
      <c r="R16" s="73">
        <v>12583400</v>
      </c>
      <c r="S16" s="72">
        <v>3106893</v>
      </c>
      <c r="T16" s="71">
        <v>5858108</v>
      </c>
      <c r="U16" s="71">
        <v>8841359</v>
      </c>
      <c r="V16" s="73">
        <v>12639948</v>
      </c>
      <c r="W16" s="72">
        <v>2945860</v>
      </c>
      <c r="X16" s="83">
        <v>4933507</v>
      </c>
      <c r="Y16" s="83">
        <v>10320569</v>
      </c>
      <c r="AA16" s="19" t="s">
        <v>16</v>
      </c>
      <c r="AB16" s="190">
        <f>25574362</f>
        <v>25574362</v>
      </c>
      <c r="AC16" s="190">
        <f>7136390</f>
        <v>7136390</v>
      </c>
      <c r="AD16" s="190">
        <v>3335384</v>
      </c>
      <c r="AE16" s="190">
        <v>6396364</v>
      </c>
      <c r="AF16" s="190">
        <v>16288964</v>
      </c>
      <c r="AG16" s="190">
        <v>10550270</v>
      </c>
      <c r="AH16" s="190">
        <v>2478476</v>
      </c>
      <c r="AI16" s="190">
        <v>5071560</v>
      </c>
      <c r="AJ16" s="190">
        <v>7631021</v>
      </c>
      <c r="AK16" s="190">
        <v>10182167.74</v>
      </c>
      <c r="AL16" s="190">
        <v>2508539</v>
      </c>
      <c r="AM16" s="189">
        <v>5323474.0500000017</v>
      </c>
      <c r="AN16" s="189">
        <v>8030162</v>
      </c>
    </row>
    <row r="17" spans="2:40" ht="15.75" customHeight="1" x14ac:dyDescent="0.35">
      <c r="B17" s="19" t="s">
        <v>11</v>
      </c>
      <c r="C17" s="26">
        <v>1812649</v>
      </c>
      <c r="D17" s="3">
        <v>3661533</v>
      </c>
      <c r="E17" s="3">
        <v>5495276</v>
      </c>
      <c r="F17" s="29">
        <v>7375622.8600000003</v>
      </c>
      <c r="G17" s="26">
        <v>1852724.37</v>
      </c>
      <c r="H17" s="3">
        <v>3969741.24</v>
      </c>
      <c r="I17" s="3">
        <v>5873320.1500000004</v>
      </c>
      <c r="J17" s="29">
        <v>7856254</v>
      </c>
      <c r="K17" s="26">
        <v>2072736</v>
      </c>
      <c r="L17" s="3">
        <v>4167511</v>
      </c>
      <c r="M17" s="3">
        <v>6290147</v>
      </c>
      <c r="N17" s="29">
        <v>8435302</v>
      </c>
      <c r="O17" s="72">
        <v>2233162</v>
      </c>
      <c r="P17" s="71">
        <v>4461639</v>
      </c>
      <c r="Q17" s="71">
        <v>5257681</v>
      </c>
      <c r="R17" s="73">
        <v>7051924</v>
      </c>
      <c r="S17" s="72">
        <v>1795872</v>
      </c>
      <c r="T17" s="71">
        <v>3260750</v>
      </c>
      <c r="U17" s="71">
        <v>5092670</v>
      </c>
      <c r="V17" s="73">
        <v>6987784</v>
      </c>
      <c r="W17" s="72">
        <v>1775124</v>
      </c>
      <c r="X17" s="83">
        <v>2988795</v>
      </c>
      <c r="Y17" s="83">
        <v>5994213</v>
      </c>
      <c r="AA17" s="18" t="s">
        <v>18</v>
      </c>
      <c r="AB17" s="196">
        <f t="shared" ref="AB17:AJ17" si="14">AB14+AB15-AB16</f>
        <v>-7794330</v>
      </c>
      <c r="AC17" s="196">
        <f t="shared" si="14"/>
        <v>-36197</v>
      </c>
      <c r="AD17" s="196">
        <f t="shared" si="14"/>
        <v>-7979035</v>
      </c>
      <c r="AE17" s="196">
        <f t="shared" si="14"/>
        <v>-21125934</v>
      </c>
      <c r="AF17" s="196">
        <f t="shared" si="14"/>
        <v>-33573783</v>
      </c>
      <c r="AG17" s="196">
        <f t="shared" si="14"/>
        <v>-28215091.030000001</v>
      </c>
      <c r="AH17" s="196">
        <f t="shared" si="14"/>
        <v>-7708938</v>
      </c>
      <c r="AI17" s="196">
        <f t="shared" si="14"/>
        <v>4258299.0000000242</v>
      </c>
      <c r="AJ17" s="196">
        <f t="shared" si="14"/>
        <v>-1252640.0000000019</v>
      </c>
      <c r="AK17" s="196">
        <f t="shared" ref="AK17:AL17" si="15">AK14+AK15-AK16</f>
        <v>8894328.6599939931</v>
      </c>
      <c r="AL17" s="196">
        <f t="shared" si="15"/>
        <v>1811676.9999999832</v>
      </c>
      <c r="AM17" s="196">
        <f t="shared" ref="AM17:AN17" si="16">AM14+AM15-AM16</f>
        <v>3705411.5199968694</v>
      </c>
      <c r="AN17" s="196">
        <f t="shared" si="16"/>
        <v>18734972.000000007</v>
      </c>
    </row>
    <row r="18" spans="2:40" ht="15.75" customHeight="1" x14ac:dyDescent="0.35">
      <c r="B18" s="19" t="s">
        <v>12</v>
      </c>
      <c r="C18" s="30"/>
      <c r="D18" s="4"/>
      <c r="E18" s="4"/>
      <c r="F18" s="31"/>
      <c r="G18" s="30"/>
      <c r="H18" s="4"/>
      <c r="I18" s="4"/>
      <c r="J18" s="31"/>
      <c r="K18" s="30"/>
      <c r="L18" s="4"/>
      <c r="M18" s="4"/>
      <c r="N18" s="31"/>
      <c r="O18" s="84"/>
      <c r="P18" s="85"/>
      <c r="Q18" s="85"/>
      <c r="R18" s="73"/>
      <c r="S18" s="84"/>
      <c r="T18" s="85"/>
      <c r="U18" s="85"/>
      <c r="V18" s="73"/>
      <c r="W18" s="84"/>
      <c r="X18" s="87"/>
      <c r="Y18" s="87"/>
      <c r="AA18" s="19" t="s">
        <v>19</v>
      </c>
      <c r="AB18" s="189">
        <v>-637207</v>
      </c>
      <c r="AC18" s="189">
        <v>1209898</v>
      </c>
      <c r="AD18" s="189">
        <v>-962202</v>
      </c>
      <c r="AE18" s="189">
        <v>-1968646</v>
      </c>
      <c r="AF18" s="189">
        <v>-3537460</v>
      </c>
      <c r="AG18" s="189">
        <v>-4278329</v>
      </c>
      <c r="AH18" s="189">
        <v>-844367</v>
      </c>
      <c r="AI18" s="189">
        <v>-90225</v>
      </c>
      <c r="AJ18" s="189">
        <v>-1251212</v>
      </c>
      <c r="AK18" s="189">
        <v>965890</v>
      </c>
      <c r="AL18" s="189">
        <v>456142</v>
      </c>
      <c r="AM18" s="189">
        <v>1326832</v>
      </c>
      <c r="AN18" s="189">
        <v>3727219</v>
      </c>
    </row>
    <row r="19" spans="2:40" ht="15.75" customHeight="1" x14ac:dyDescent="0.35">
      <c r="B19" s="19" t="s">
        <v>13</v>
      </c>
      <c r="C19" s="26">
        <v>101985.73000000013</v>
      </c>
      <c r="D19" s="3">
        <v>270242</v>
      </c>
      <c r="E19" s="3">
        <v>332845</v>
      </c>
      <c r="F19" s="29">
        <v>704944.83</v>
      </c>
      <c r="G19" s="26">
        <v>177396.41999999998</v>
      </c>
      <c r="H19" s="3">
        <v>434833.83</v>
      </c>
      <c r="I19" s="3">
        <v>1203421</v>
      </c>
      <c r="J19" s="29">
        <v>1067720.46</v>
      </c>
      <c r="K19" s="26">
        <v>330788</v>
      </c>
      <c r="L19" s="3">
        <v>828687</v>
      </c>
      <c r="M19" s="3">
        <v>1040145</v>
      </c>
      <c r="N19" s="29">
        <v>1290927.79</v>
      </c>
      <c r="O19" s="72">
        <v>487441</v>
      </c>
      <c r="P19" s="71">
        <v>720433</v>
      </c>
      <c r="Q19" s="71">
        <v>753813</v>
      </c>
      <c r="R19" s="73">
        <v>1411298</v>
      </c>
      <c r="S19" s="72">
        <v>275750</v>
      </c>
      <c r="T19" s="71">
        <v>1033515</v>
      </c>
      <c r="U19" s="71">
        <v>1405580</v>
      </c>
      <c r="V19" s="73">
        <v>1742370</v>
      </c>
      <c r="W19" s="72">
        <v>97594</v>
      </c>
      <c r="X19" s="83">
        <v>142483</v>
      </c>
      <c r="Y19" s="83">
        <v>293747</v>
      </c>
      <c r="AA19" s="18" t="s">
        <v>20</v>
      </c>
      <c r="AB19" s="196">
        <f t="shared" ref="AB19:AJ19" si="17">AB17-AB18</f>
        <v>-7157123</v>
      </c>
      <c r="AC19" s="196">
        <f t="shared" si="17"/>
        <v>-1246095</v>
      </c>
      <c r="AD19" s="196">
        <f t="shared" si="17"/>
        <v>-7016833</v>
      </c>
      <c r="AE19" s="196">
        <f t="shared" si="17"/>
        <v>-19157288</v>
      </c>
      <c r="AF19" s="196">
        <f t="shared" si="17"/>
        <v>-30036323</v>
      </c>
      <c r="AG19" s="196">
        <f t="shared" si="17"/>
        <v>-23936762.030000001</v>
      </c>
      <c r="AH19" s="196">
        <f t="shared" si="17"/>
        <v>-6864571</v>
      </c>
      <c r="AI19" s="196">
        <f t="shared" si="17"/>
        <v>4348524.0000000242</v>
      </c>
      <c r="AJ19" s="196">
        <f t="shared" si="17"/>
        <v>-1428.0000000018626</v>
      </c>
      <c r="AK19" s="196">
        <f t="shared" ref="AK19:AL19" si="18">AK17-AK18</f>
        <v>7928438.6599939931</v>
      </c>
      <c r="AL19" s="196">
        <f t="shared" si="18"/>
        <v>1355534.9999999832</v>
      </c>
      <c r="AM19" s="196">
        <f t="shared" ref="AM19:AN19" si="19">AM17-AM18</f>
        <v>2378579.5199968694</v>
      </c>
      <c r="AN19" s="196">
        <f t="shared" si="19"/>
        <v>15007753.000000007</v>
      </c>
    </row>
    <row r="20" spans="2:40" ht="15.75" customHeight="1" x14ac:dyDescent="0.35">
      <c r="B20" s="18" t="s">
        <v>14</v>
      </c>
      <c r="C20" s="34">
        <f>C13+C14+C15-C16-C17-C18-C19</f>
        <v>52292.279999798484</v>
      </c>
      <c r="D20" s="6">
        <f t="shared" ref="D20:G20" si="20">D13+D14+D15-D16-D17-D18-D19</f>
        <v>2364149.8100000024</v>
      </c>
      <c r="E20" s="6">
        <f t="shared" si="20"/>
        <v>6968408.2700017467</v>
      </c>
      <c r="F20" s="35">
        <f t="shared" si="20"/>
        <v>6832724.7700019693</v>
      </c>
      <c r="G20" s="34">
        <f t="shared" si="20"/>
        <v>1787466.679999969</v>
      </c>
      <c r="H20" s="6">
        <f t="shared" ref="H20" si="21">H13+H14+H15-H16-H17-H18-H19</f>
        <v>3754031.0900002895</v>
      </c>
      <c r="I20" s="6">
        <f t="shared" ref="I20" si="22">I13+I14+I15-I16-I17-I18-I19</f>
        <v>5612377.0000000093</v>
      </c>
      <c r="J20" s="35">
        <f t="shared" ref="J20:K20" si="23">J13+J14+J15-J16-J17-J18-J19</f>
        <v>172565.70999781135</v>
      </c>
      <c r="K20" s="34">
        <f t="shared" si="23"/>
        <v>1019991</v>
      </c>
      <c r="L20" s="6">
        <f t="shared" ref="L20" si="24">L13+L14+L15-L16-L17-L18-L19</f>
        <v>-1060760</v>
      </c>
      <c r="M20" s="6">
        <f t="shared" ref="M20" si="25">M13+M14+M15-M16-M17-M18-M19</f>
        <v>1525904</v>
      </c>
      <c r="N20" s="35">
        <f t="shared" ref="N20:O20" si="26">N13+N14+N15-N16-N17-N18-N19</f>
        <v>2996039.9999999991</v>
      </c>
      <c r="O20" s="89">
        <f t="shared" si="26"/>
        <v>-1039637.5400000066</v>
      </c>
      <c r="P20" s="90">
        <f t="shared" ref="P20" si="27">P13+P14+P15-P16-P17-P18-P19</f>
        <v>-1412818</v>
      </c>
      <c r="Q20" s="90">
        <f t="shared" ref="Q20" si="28">Q13+Q14+Q15-Q16-Q17-Q18-Q19</f>
        <v>848894</v>
      </c>
      <c r="R20" s="91">
        <f t="shared" ref="R20:S20" si="29">R13+R14+R15-R16-R17-R18-R19</f>
        <v>6530076</v>
      </c>
      <c r="S20" s="89">
        <f t="shared" si="29"/>
        <v>-147091</v>
      </c>
      <c r="T20" s="90">
        <f t="shared" ref="T20" si="30">T13+T14+T15-T16-T17-T18-T19</f>
        <v>8522871</v>
      </c>
      <c r="U20" s="90">
        <f t="shared" ref="U20" si="31">U13+U14+U15-U16-U17-U18-U19</f>
        <v>13876825</v>
      </c>
      <c r="V20" s="91">
        <f t="shared" ref="V20:W20" si="32">V13+V14+V15-V16-V17-V18-V19</f>
        <v>17633298</v>
      </c>
      <c r="W20" s="89">
        <f t="shared" si="32"/>
        <v>1835042</v>
      </c>
      <c r="X20" s="92">
        <f t="shared" ref="X20" si="33">X13+X14+X15-X16-X17-X18-X19</f>
        <v>949694</v>
      </c>
      <c r="Y20" s="92">
        <f t="shared" ref="Y20" si="34">Y13+Y14+Y15-Y16-Y17-Y18-Y19</f>
        <v>4834393</v>
      </c>
      <c r="AA20" s="20" t="s">
        <v>21</v>
      </c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</row>
    <row r="21" spans="2:40" ht="15.75" customHeight="1" thickBot="1" x14ac:dyDescent="0.4">
      <c r="B21" s="19" t="s">
        <v>15</v>
      </c>
      <c r="C21" s="32">
        <v>1220</v>
      </c>
      <c r="D21" s="5">
        <v>8574</v>
      </c>
      <c r="E21" s="5">
        <v>1450</v>
      </c>
      <c r="F21" s="33">
        <v>1531</v>
      </c>
      <c r="G21" s="32">
        <v>91.28</v>
      </c>
      <c r="H21" s="5">
        <v>873</v>
      </c>
      <c r="I21" s="5">
        <v>1838</v>
      </c>
      <c r="J21" s="33">
        <v>3188.37</v>
      </c>
      <c r="K21" s="32">
        <v>41928</v>
      </c>
      <c r="L21" s="5">
        <v>44302</v>
      </c>
      <c r="M21" s="5">
        <v>140781</v>
      </c>
      <c r="N21" s="33">
        <v>141743</v>
      </c>
      <c r="O21" s="67">
        <v>1943.14</v>
      </c>
      <c r="P21" s="68">
        <v>1642821</v>
      </c>
      <c r="Q21" s="68">
        <v>535335</v>
      </c>
      <c r="R21" s="69">
        <v>1493680</v>
      </c>
      <c r="S21" s="67">
        <v>2</v>
      </c>
      <c r="T21" s="68">
        <v>266730</v>
      </c>
      <c r="U21" s="68">
        <v>267478</v>
      </c>
      <c r="V21" s="69">
        <v>146734</v>
      </c>
      <c r="W21" s="67">
        <v>3878</v>
      </c>
      <c r="X21" s="88">
        <v>3415254</v>
      </c>
      <c r="Y21" s="88">
        <v>4867</v>
      </c>
      <c r="AA21" s="18" t="s">
        <v>22</v>
      </c>
      <c r="AB21" s="197">
        <f t="shared" ref="AB21:AI21" si="35">AB19+AB20</f>
        <v>-7157123</v>
      </c>
      <c r="AC21" s="197">
        <f t="shared" si="35"/>
        <v>-1246095</v>
      </c>
      <c r="AD21" s="197">
        <f t="shared" si="35"/>
        <v>-7016833</v>
      </c>
      <c r="AE21" s="197">
        <f t="shared" si="35"/>
        <v>-19157288</v>
      </c>
      <c r="AF21" s="197">
        <f t="shared" si="35"/>
        <v>-30036323</v>
      </c>
      <c r="AG21" s="197">
        <f t="shared" si="35"/>
        <v>-23936762.030000001</v>
      </c>
      <c r="AH21" s="197">
        <f t="shared" si="35"/>
        <v>-6864571</v>
      </c>
      <c r="AI21" s="197">
        <f t="shared" si="35"/>
        <v>4348524.0000000242</v>
      </c>
      <c r="AJ21" s="197">
        <f t="shared" ref="AJ21:AK21" si="36">AJ19+AJ20</f>
        <v>-1428.0000000018626</v>
      </c>
      <c r="AK21" s="197">
        <f t="shared" si="36"/>
        <v>7928438.6599939931</v>
      </c>
      <c r="AL21" s="197">
        <f t="shared" ref="AL21:AM21" si="37">AL19+AL20</f>
        <v>1355534.9999999832</v>
      </c>
      <c r="AM21" s="197">
        <f t="shared" si="37"/>
        <v>2378579.5199968694</v>
      </c>
      <c r="AN21" s="197">
        <f t="shared" ref="AN21" si="38">AN19+AN20</f>
        <v>15007753.000000007</v>
      </c>
    </row>
    <row r="22" spans="2:40" ht="15.75" customHeight="1" x14ac:dyDescent="0.35">
      <c r="B22" s="19" t="s">
        <v>16</v>
      </c>
      <c r="C22" s="26">
        <v>293120</v>
      </c>
      <c r="D22" s="3">
        <v>579127</v>
      </c>
      <c r="E22" s="3">
        <v>885490.93</v>
      </c>
      <c r="F22" s="29">
        <v>1222103.47</v>
      </c>
      <c r="G22" s="26">
        <v>332763.18</v>
      </c>
      <c r="H22" s="3">
        <v>659017.76</v>
      </c>
      <c r="I22" s="3">
        <v>998926</v>
      </c>
      <c r="J22" s="29">
        <v>1320012.21</v>
      </c>
      <c r="K22" s="26">
        <v>464543</v>
      </c>
      <c r="L22" s="3">
        <v>899268</v>
      </c>
      <c r="M22" s="3">
        <v>1304848</v>
      </c>
      <c r="N22" s="29">
        <v>2007789</v>
      </c>
      <c r="O22" s="72">
        <v>2361193.9500000002</v>
      </c>
      <c r="P22" s="71">
        <v>4526103</v>
      </c>
      <c r="Q22" s="71">
        <v>10503475</v>
      </c>
      <c r="R22" s="73">
        <v>9459779</v>
      </c>
      <c r="S22" s="72">
        <v>12695172</v>
      </c>
      <c r="T22" s="71">
        <v>11664400</v>
      </c>
      <c r="U22" s="71">
        <v>15363919</v>
      </c>
      <c r="V22" s="73">
        <v>25574362</v>
      </c>
      <c r="W22" s="72">
        <v>3301804</v>
      </c>
      <c r="X22" s="83">
        <v>3544406</v>
      </c>
      <c r="Y22" s="83">
        <v>5624532</v>
      </c>
      <c r="AA22" s="167"/>
      <c r="AB22" s="168"/>
      <c r="AC22" s="168"/>
    </row>
    <row r="23" spans="2:40" ht="15.75" customHeight="1" x14ac:dyDescent="0.35">
      <c r="B23" s="19" t="s">
        <v>17</v>
      </c>
      <c r="C23" s="26"/>
      <c r="D23" s="3"/>
      <c r="E23" s="3"/>
      <c r="F23" s="29"/>
      <c r="G23" s="26"/>
      <c r="H23" s="3"/>
      <c r="I23" s="3"/>
      <c r="J23" s="29"/>
      <c r="K23" s="26"/>
      <c r="L23" s="3"/>
      <c r="M23" s="3"/>
      <c r="N23" s="29"/>
      <c r="O23" s="72"/>
      <c r="P23" s="71"/>
      <c r="Q23" s="71"/>
      <c r="R23" s="73"/>
      <c r="S23" s="72"/>
      <c r="T23" s="71"/>
      <c r="U23" s="71"/>
      <c r="V23" s="73"/>
      <c r="W23" s="72"/>
      <c r="X23" s="83"/>
      <c r="Y23" s="83"/>
      <c r="AA23" s="169"/>
      <c r="AB23" s="168"/>
      <c r="AC23" s="168"/>
    </row>
    <row r="24" spans="2:40" ht="15.75" customHeight="1" x14ac:dyDescent="0.35">
      <c r="B24" s="18" t="s">
        <v>18</v>
      </c>
      <c r="C24" s="34">
        <f>C20+C21-C22+C23</f>
        <v>-239607.72000020152</v>
      </c>
      <c r="D24" s="6">
        <f>D20+D21-D22+D23</f>
        <v>1793596.8100000024</v>
      </c>
      <c r="E24" s="6">
        <f t="shared" ref="E24:W24" si="39">E20+E21-E22+E23</f>
        <v>6084367.340001747</v>
      </c>
      <c r="F24" s="35">
        <f t="shared" si="39"/>
        <v>5612152.3000019696</v>
      </c>
      <c r="G24" s="34">
        <f t="shared" si="39"/>
        <v>1454794.7799999691</v>
      </c>
      <c r="H24" s="6">
        <f t="shared" si="39"/>
        <v>3095886.3300002897</v>
      </c>
      <c r="I24" s="6">
        <f t="shared" si="39"/>
        <v>4615289.0000000093</v>
      </c>
      <c r="J24" s="35">
        <f t="shared" si="39"/>
        <v>-1144258.1300021885</v>
      </c>
      <c r="K24" s="34">
        <f t="shared" si="39"/>
        <v>597376</v>
      </c>
      <c r="L24" s="6">
        <f t="shared" si="39"/>
        <v>-1915726</v>
      </c>
      <c r="M24" s="6">
        <f t="shared" si="39"/>
        <v>361837</v>
      </c>
      <c r="N24" s="35">
        <f t="shared" si="39"/>
        <v>1129993.9999999991</v>
      </c>
      <c r="O24" s="89">
        <f t="shared" si="39"/>
        <v>-3398888.3500000066</v>
      </c>
      <c r="P24" s="90">
        <f t="shared" si="39"/>
        <v>-4296100</v>
      </c>
      <c r="Q24" s="90">
        <f t="shared" si="39"/>
        <v>-9119246</v>
      </c>
      <c r="R24" s="91">
        <f t="shared" si="39"/>
        <v>-1436023</v>
      </c>
      <c r="S24" s="89">
        <f t="shared" si="39"/>
        <v>-12842261</v>
      </c>
      <c r="T24" s="90">
        <f t="shared" si="39"/>
        <v>-2874799</v>
      </c>
      <c r="U24" s="90">
        <f t="shared" si="39"/>
        <v>-1219616</v>
      </c>
      <c r="V24" s="91">
        <f t="shared" si="39"/>
        <v>-7794330</v>
      </c>
      <c r="W24" s="89">
        <f t="shared" si="39"/>
        <v>-1462884</v>
      </c>
      <c r="X24" s="92">
        <f t="shared" ref="X24" si="40">X20+X21-X22+X23</f>
        <v>820542</v>
      </c>
      <c r="Y24" s="92">
        <f t="shared" ref="Y24" si="41">Y20+Y21-Y22+Y23</f>
        <v>-785272</v>
      </c>
      <c r="AA24" s="170"/>
      <c r="AB24" s="168"/>
      <c r="AC24" s="168"/>
    </row>
    <row r="25" spans="2:40" ht="15.75" customHeight="1" x14ac:dyDescent="0.35">
      <c r="B25" s="19" t="s">
        <v>19</v>
      </c>
      <c r="C25" s="32">
        <v>17794</v>
      </c>
      <c r="D25" s="5">
        <v>436045</v>
      </c>
      <c r="E25" s="5">
        <v>1302843</v>
      </c>
      <c r="F25" s="33">
        <v>1244675</v>
      </c>
      <c r="G25" s="32">
        <v>832129</v>
      </c>
      <c r="H25" s="5">
        <v>696412</v>
      </c>
      <c r="I25" s="5">
        <v>1006203</v>
      </c>
      <c r="J25" s="33">
        <v>-11032</v>
      </c>
      <c r="K25" s="32">
        <v>175395</v>
      </c>
      <c r="L25" s="5">
        <v>-115123</v>
      </c>
      <c r="M25" s="5">
        <v>300536</v>
      </c>
      <c r="N25" s="33">
        <v>633702</v>
      </c>
      <c r="O25" s="67">
        <v>-54334</v>
      </c>
      <c r="P25" s="68">
        <v>6590</v>
      </c>
      <c r="Q25" s="68">
        <v>-756253</v>
      </c>
      <c r="R25" s="69">
        <v>1436438</v>
      </c>
      <c r="S25" s="67">
        <v>-2807678</v>
      </c>
      <c r="T25" s="68">
        <v>-901009</v>
      </c>
      <c r="U25" s="68">
        <v>-83621</v>
      </c>
      <c r="V25" s="69">
        <v>-637207</v>
      </c>
      <c r="W25" s="67">
        <v>145893</v>
      </c>
      <c r="X25" s="88">
        <v>867147</v>
      </c>
      <c r="Y25" s="88">
        <v>436795</v>
      </c>
      <c r="AA25" s="170"/>
      <c r="AB25" s="168"/>
      <c r="AC25" s="168"/>
    </row>
    <row r="26" spans="2:40" ht="15.75" customHeight="1" x14ac:dyDescent="0.35">
      <c r="B26" s="18" t="s">
        <v>20</v>
      </c>
      <c r="C26" s="34">
        <f>C24-C25</f>
        <v>-257401.72000020152</v>
      </c>
      <c r="D26" s="6">
        <f>D24-D25</f>
        <v>1357551.8100000024</v>
      </c>
      <c r="E26" s="6">
        <f t="shared" ref="E26:W26" si="42">E24-E25</f>
        <v>4781524.340001747</v>
      </c>
      <c r="F26" s="35">
        <f t="shared" si="42"/>
        <v>4367477.3000019696</v>
      </c>
      <c r="G26" s="34">
        <f t="shared" si="42"/>
        <v>622665.77999996906</v>
      </c>
      <c r="H26" s="6">
        <f t="shared" si="42"/>
        <v>2399474.3300002897</v>
      </c>
      <c r="I26" s="6">
        <f t="shared" si="42"/>
        <v>3609086.0000000093</v>
      </c>
      <c r="J26" s="35">
        <f t="shared" si="42"/>
        <v>-1133226.1300021885</v>
      </c>
      <c r="K26" s="34">
        <f t="shared" si="42"/>
        <v>421981</v>
      </c>
      <c r="L26" s="6">
        <f t="shared" si="42"/>
        <v>-1800603</v>
      </c>
      <c r="M26" s="6">
        <f t="shared" si="42"/>
        <v>61301</v>
      </c>
      <c r="N26" s="35">
        <f t="shared" si="42"/>
        <v>496291.99999999907</v>
      </c>
      <c r="O26" s="89">
        <f t="shared" si="42"/>
        <v>-3344554.3500000066</v>
      </c>
      <c r="P26" s="90">
        <f t="shared" si="42"/>
        <v>-4302690</v>
      </c>
      <c r="Q26" s="90">
        <f t="shared" si="42"/>
        <v>-8362993</v>
      </c>
      <c r="R26" s="91">
        <f t="shared" si="42"/>
        <v>-2872461</v>
      </c>
      <c r="S26" s="89">
        <f t="shared" si="42"/>
        <v>-10034583</v>
      </c>
      <c r="T26" s="90">
        <f t="shared" si="42"/>
        <v>-1973790</v>
      </c>
      <c r="U26" s="90">
        <f t="shared" si="42"/>
        <v>-1135995</v>
      </c>
      <c r="V26" s="91">
        <f t="shared" si="42"/>
        <v>-7157123</v>
      </c>
      <c r="W26" s="89">
        <f t="shared" si="42"/>
        <v>-1608777</v>
      </c>
      <c r="X26" s="92">
        <f t="shared" ref="X26" si="43">X24-X25</f>
        <v>-46605</v>
      </c>
      <c r="Y26" s="92">
        <f t="shared" ref="Y26" si="44">Y24-Y25</f>
        <v>-1222067</v>
      </c>
      <c r="AA26" s="167"/>
      <c r="AB26" s="171"/>
      <c r="AC26" s="171"/>
    </row>
    <row r="27" spans="2:40" ht="15.75" customHeight="1" x14ac:dyDescent="0.35">
      <c r="B27" s="20" t="s">
        <v>21</v>
      </c>
      <c r="C27" s="26"/>
      <c r="D27" s="3"/>
      <c r="E27" s="3"/>
      <c r="F27" s="29"/>
      <c r="G27" s="26"/>
      <c r="H27" s="3"/>
      <c r="I27" s="3"/>
      <c r="J27" s="29"/>
      <c r="K27" s="26"/>
      <c r="L27" s="3"/>
      <c r="M27" s="3"/>
      <c r="N27" s="29"/>
      <c r="O27" s="72"/>
      <c r="P27" s="71"/>
      <c r="Q27" s="71"/>
      <c r="R27" s="73"/>
      <c r="S27" s="72"/>
      <c r="T27" s="71"/>
      <c r="U27" s="71"/>
      <c r="V27" s="73"/>
      <c r="W27" s="72"/>
      <c r="X27" s="83"/>
      <c r="Y27" s="83"/>
      <c r="AA27" s="172"/>
      <c r="AB27" s="173"/>
      <c r="AC27" s="173"/>
    </row>
    <row r="28" spans="2:40" ht="15.75" customHeight="1" thickBot="1" x14ac:dyDescent="0.4">
      <c r="B28" s="123" t="s">
        <v>22</v>
      </c>
      <c r="C28" s="36">
        <f>C26+C27</f>
        <v>-257401.72000020152</v>
      </c>
      <c r="D28" s="37">
        <f t="shared" ref="D28:W28" si="45">D26+D27</f>
        <v>1357551.8100000024</v>
      </c>
      <c r="E28" s="37">
        <f t="shared" si="45"/>
        <v>4781524.340001747</v>
      </c>
      <c r="F28" s="38">
        <f t="shared" si="45"/>
        <v>4367477.3000019696</v>
      </c>
      <c r="G28" s="36">
        <f t="shared" si="45"/>
        <v>622665.77999996906</v>
      </c>
      <c r="H28" s="37">
        <f t="shared" si="45"/>
        <v>2399474.3300002897</v>
      </c>
      <c r="I28" s="37">
        <f t="shared" si="45"/>
        <v>3609086.0000000093</v>
      </c>
      <c r="J28" s="38">
        <f t="shared" si="45"/>
        <v>-1133226.1300021885</v>
      </c>
      <c r="K28" s="36">
        <f t="shared" si="45"/>
        <v>421981</v>
      </c>
      <c r="L28" s="37">
        <f t="shared" si="45"/>
        <v>-1800603</v>
      </c>
      <c r="M28" s="37">
        <f t="shared" si="45"/>
        <v>61301</v>
      </c>
      <c r="N28" s="38">
        <f t="shared" si="45"/>
        <v>496291.99999999907</v>
      </c>
      <c r="O28" s="93">
        <f t="shared" si="45"/>
        <v>-3344554.3500000066</v>
      </c>
      <c r="P28" s="94">
        <f t="shared" si="45"/>
        <v>-4302690</v>
      </c>
      <c r="Q28" s="94">
        <f t="shared" si="45"/>
        <v>-8362993</v>
      </c>
      <c r="R28" s="95">
        <f t="shared" si="45"/>
        <v>-2872461</v>
      </c>
      <c r="S28" s="93">
        <f t="shared" si="45"/>
        <v>-10034583</v>
      </c>
      <c r="T28" s="94">
        <f t="shared" si="45"/>
        <v>-1973790</v>
      </c>
      <c r="U28" s="94">
        <f t="shared" si="45"/>
        <v>-1135995</v>
      </c>
      <c r="V28" s="95">
        <f t="shared" si="45"/>
        <v>-7157123</v>
      </c>
      <c r="W28" s="93">
        <f t="shared" si="45"/>
        <v>-1608777</v>
      </c>
      <c r="X28" s="96">
        <f t="shared" ref="X28" si="46">X26+X27</f>
        <v>-46605</v>
      </c>
      <c r="Y28" s="96">
        <f t="shared" ref="Y28" si="47">Y26+Y27</f>
        <v>-1222067</v>
      </c>
      <c r="AA28" s="172"/>
      <c r="AB28" s="173"/>
      <c r="AC28" s="173"/>
    </row>
    <row r="29" spans="2:40" ht="15.75" customHeight="1" x14ac:dyDescent="0.35">
      <c r="AA29" s="167"/>
      <c r="AB29" s="171"/>
      <c r="AC29" s="171"/>
    </row>
    <row r="35" spans="2:40" ht="15" thickBot="1" x14ac:dyDescent="0.4"/>
    <row r="36" spans="2:40" x14ac:dyDescent="0.35">
      <c r="C36" s="281">
        <v>2016</v>
      </c>
      <c r="D36" s="282"/>
      <c r="E36" s="282"/>
      <c r="F36" s="283"/>
      <c r="G36" s="281">
        <v>2017</v>
      </c>
      <c r="H36" s="282"/>
      <c r="I36" s="282"/>
      <c r="J36" s="283"/>
      <c r="K36" s="281">
        <v>2018</v>
      </c>
      <c r="L36" s="282"/>
      <c r="M36" s="282"/>
      <c r="N36" s="283"/>
      <c r="O36" s="281">
        <v>2019</v>
      </c>
      <c r="P36" s="282"/>
      <c r="Q36" s="282"/>
      <c r="R36" s="283"/>
      <c r="S36" s="281">
        <v>2020</v>
      </c>
      <c r="T36" s="282"/>
      <c r="U36" s="282"/>
      <c r="V36" s="283"/>
      <c r="W36" s="281">
        <v>2021</v>
      </c>
      <c r="X36" s="282"/>
      <c r="Y36" s="282"/>
      <c r="AB36" s="157">
        <v>2020</v>
      </c>
      <c r="AC36" s="157">
        <v>2021</v>
      </c>
      <c r="AD36" s="157">
        <v>2022</v>
      </c>
      <c r="AE36" s="157">
        <v>2022</v>
      </c>
      <c r="AF36" s="157">
        <v>2022</v>
      </c>
      <c r="AG36" s="157">
        <v>2022</v>
      </c>
      <c r="AH36" s="157">
        <v>2022</v>
      </c>
      <c r="AI36" s="157">
        <v>2022</v>
      </c>
      <c r="AJ36" s="157">
        <v>2023</v>
      </c>
      <c r="AK36" s="157">
        <v>2023</v>
      </c>
      <c r="AL36" s="157">
        <v>2024</v>
      </c>
      <c r="AM36" s="157">
        <v>2024</v>
      </c>
      <c r="AN36" s="157">
        <v>2024</v>
      </c>
    </row>
    <row r="37" spans="2:40" x14ac:dyDescent="0.35">
      <c r="B37" s="14" t="s">
        <v>158</v>
      </c>
      <c r="C37" s="54" t="s">
        <v>115</v>
      </c>
      <c r="D37" s="55" t="s">
        <v>116</v>
      </c>
      <c r="E37" s="55" t="s">
        <v>117</v>
      </c>
      <c r="F37" s="56" t="s">
        <v>118</v>
      </c>
      <c r="G37" s="54" t="s">
        <v>115</v>
      </c>
      <c r="H37" s="55" t="s">
        <v>116</v>
      </c>
      <c r="I37" s="55" t="s">
        <v>117</v>
      </c>
      <c r="J37" s="56" t="s">
        <v>118</v>
      </c>
      <c r="K37" s="54" t="s">
        <v>115</v>
      </c>
      <c r="L37" s="55" t="s">
        <v>116</v>
      </c>
      <c r="M37" s="55" t="s">
        <v>117</v>
      </c>
      <c r="N37" s="56" t="s">
        <v>118</v>
      </c>
      <c r="O37" s="54" t="s">
        <v>115</v>
      </c>
      <c r="P37" s="55" t="s">
        <v>116</v>
      </c>
      <c r="Q37" s="55" t="s">
        <v>117</v>
      </c>
      <c r="R37" s="56" t="s">
        <v>118</v>
      </c>
      <c r="S37" s="54" t="s">
        <v>115</v>
      </c>
      <c r="T37" s="55" t="s">
        <v>116</v>
      </c>
      <c r="U37" s="55" t="s">
        <v>117</v>
      </c>
      <c r="V37" s="56" t="s">
        <v>118</v>
      </c>
      <c r="W37" s="54" t="s">
        <v>115</v>
      </c>
      <c r="X37" s="55" t="s">
        <v>116</v>
      </c>
      <c r="Y37" s="55" t="s">
        <v>117</v>
      </c>
      <c r="AA37" s="14" t="s">
        <v>158</v>
      </c>
      <c r="AB37" s="158" t="s">
        <v>118</v>
      </c>
      <c r="AC37" s="158" t="s">
        <v>118</v>
      </c>
      <c r="AD37" s="158" t="s">
        <v>115</v>
      </c>
      <c r="AE37" s="158" t="s">
        <v>116</v>
      </c>
      <c r="AF37" s="158" t="str">
        <f t="shared" ref="AF37:AH38" si="48">AF4</f>
        <v>3Q</v>
      </c>
      <c r="AG37" s="158" t="str">
        <f t="shared" si="48"/>
        <v>4Q</v>
      </c>
      <c r="AH37" s="158" t="str">
        <f t="shared" si="48"/>
        <v>1Q</v>
      </c>
      <c r="AI37" s="158" t="str">
        <f t="shared" ref="AI37:AJ37" si="49">AI4</f>
        <v>2Q</v>
      </c>
      <c r="AJ37" s="158" t="str">
        <f t="shared" si="49"/>
        <v>3Q</v>
      </c>
      <c r="AK37" s="158" t="str">
        <f t="shared" ref="AK37:AL37" si="50">AK4</f>
        <v>4Q</v>
      </c>
      <c r="AL37" s="158" t="str">
        <f t="shared" si="50"/>
        <v>1Q</v>
      </c>
      <c r="AM37" s="158" t="str">
        <f t="shared" ref="AM37:AN37" si="51">AM4</f>
        <v>2Q</v>
      </c>
      <c r="AN37" s="158" t="str">
        <f t="shared" si="51"/>
        <v>3Q</v>
      </c>
    </row>
    <row r="38" spans="2:40" ht="31.5" x14ac:dyDescent="0.35">
      <c r="B38" s="76" t="s">
        <v>168</v>
      </c>
      <c r="C38" s="107" t="str">
        <f>C5</f>
        <v>za okres 01.01.2016 - 31.03.2016</v>
      </c>
      <c r="D38" s="1" t="str">
        <f t="shared" ref="D38:Y38" si="52">D5</f>
        <v>za okres 01.01.2016 - 30.06.2016</v>
      </c>
      <c r="E38" s="1" t="str">
        <f t="shared" si="52"/>
        <v>za okres 01.01.2016 - 30.09.2016</v>
      </c>
      <c r="F38" s="23" t="str">
        <f t="shared" si="52"/>
        <v>za okres 01.01.2016 - 31.12.2016</v>
      </c>
      <c r="G38" s="22" t="str">
        <f t="shared" si="52"/>
        <v>za okres 01.01.2017 - 31.03.2017</v>
      </c>
      <c r="H38" s="1" t="str">
        <f t="shared" si="52"/>
        <v>za okres 01.01.2017 - 30.06.2017</v>
      </c>
      <c r="I38" s="1" t="str">
        <f t="shared" si="52"/>
        <v>za okres 01.01.2017 - 30.09.2017</v>
      </c>
      <c r="J38" s="23" t="str">
        <f t="shared" si="52"/>
        <v>za okres 01.01.2017 - 31.12.2017</v>
      </c>
      <c r="K38" s="22" t="str">
        <f t="shared" si="52"/>
        <v>za okres 01.01.2018 - 31.03.2018</v>
      </c>
      <c r="L38" s="1" t="str">
        <f t="shared" si="52"/>
        <v>za okres 01.01.2018 - 30.06.2018</v>
      </c>
      <c r="M38" s="1" t="str">
        <f t="shared" si="52"/>
        <v>za okres 01.01.2018 - 30.09.2018</v>
      </c>
      <c r="N38" s="23" t="str">
        <f t="shared" si="52"/>
        <v>za okres 01.01.2018 - 31.12.2018</v>
      </c>
      <c r="O38" s="22" t="str">
        <f t="shared" si="52"/>
        <v>za okres 01.01.2019 - 31.03.2019</v>
      </c>
      <c r="P38" s="1" t="str">
        <f t="shared" si="52"/>
        <v>za okres 01.01.2019 - 30.06.2019</v>
      </c>
      <c r="Q38" s="1" t="str">
        <f t="shared" si="52"/>
        <v>za okres 01.01.2019 - 30.09.2019</v>
      </c>
      <c r="R38" s="23" t="str">
        <f t="shared" si="52"/>
        <v>za okres 01.01.2019 - 31.12.2019</v>
      </c>
      <c r="S38" s="22" t="str">
        <f t="shared" si="52"/>
        <v>za okres 01.01.2020 - 31.03.2020</v>
      </c>
      <c r="T38" s="1" t="str">
        <f t="shared" si="52"/>
        <v>za okres 01.01.2020 - 30.06.2020</v>
      </c>
      <c r="U38" s="1" t="str">
        <f t="shared" si="52"/>
        <v>za okres 01.01.2020 - 30.09.2020</v>
      </c>
      <c r="V38" s="23" t="str">
        <f t="shared" si="52"/>
        <v>za okres 01.01.2020 - 31.12.2020</v>
      </c>
      <c r="W38" s="22" t="str">
        <f t="shared" si="52"/>
        <v>za okres 01.01.2021 - 31.03.2021</v>
      </c>
      <c r="X38" s="21" t="str">
        <f t="shared" si="52"/>
        <v>za okres 01.01.2021 - 30.06.2021</v>
      </c>
      <c r="Y38" s="21" t="str">
        <f t="shared" si="52"/>
        <v>za okres 01.01.2021 - 30.09.2021</v>
      </c>
      <c r="AA38" s="76" t="s">
        <v>168</v>
      </c>
      <c r="AB38" s="159" t="str">
        <f>AB5</f>
        <v>za okres 01.01.2020 - 31.12.2020</v>
      </c>
      <c r="AC38" s="164" t="str">
        <f>AC5</f>
        <v>za okres 01.01.2021 - 31.12.2021</v>
      </c>
      <c r="AD38" s="164" t="str">
        <f>AD5</f>
        <v>za okres 01.01.2022 - 31.03.2022</v>
      </c>
      <c r="AE38" s="164" t="str">
        <f>AE5</f>
        <v>za okres 01.01.2022 - 30.06.2022</v>
      </c>
      <c r="AF38" s="164" t="str">
        <f t="shared" si="48"/>
        <v>za okres 01.01.2022 - 30.09.2022</v>
      </c>
      <c r="AG38" s="164" t="str">
        <f t="shared" si="48"/>
        <v>za okres 01.01.2022 - 31.12.2022</v>
      </c>
      <c r="AH38" s="164" t="str">
        <f t="shared" si="48"/>
        <v>za okres 01.01.2023 - 31.03.2023</v>
      </c>
      <c r="AI38" s="164" t="str">
        <f t="shared" ref="AI38:AJ38" si="53">AI5</f>
        <v>za okres 01.01.2023 - 30.06.2023</v>
      </c>
      <c r="AJ38" s="164" t="str">
        <f t="shared" si="53"/>
        <v>za okres 01.01.2023 - 30.09.2023</v>
      </c>
      <c r="AK38" s="164" t="str">
        <f t="shared" ref="AK38:AL38" si="54">AK5</f>
        <v>za okres 01.01.2023 - 31.12.2023.</v>
      </c>
      <c r="AL38" s="164" t="str">
        <f t="shared" si="54"/>
        <v>za okres 01.01.2024 - 31.03.2024.</v>
      </c>
      <c r="AM38" s="164" t="str">
        <f t="shared" ref="AM38:AN38" si="55">AM5</f>
        <v>za okres 01.01.2024 - 30.06.2024.</v>
      </c>
      <c r="AN38" s="164" t="str">
        <f t="shared" si="55"/>
        <v>za okres 01.01.2024 - 30.09.2024.</v>
      </c>
    </row>
    <row r="39" spans="2:40" s="75" customFormat="1" ht="15.75" customHeight="1" x14ac:dyDescent="0.35">
      <c r="B39" s="120" t="s">
        <v>0</v>
      </c>
      <c r="C39" s="112">
        <f>C6</f>
        <v>65204372.0299998</v>
      </c>
      <c r="D39" s="110">
        <f t="shared" ref="D39:Y39" si="56">D6</f>
        <v>132987139</v>
      </c>
      <c r="E39" s="110">
        <f t="shared" si="56"/>
        <v>200479026.35000113</v>
      </c>
      <c r="F39" s="113">
        <f t="shared" si="56"/>
        <v>271627552.56000197</v>
      </c>
      <c r="G39" s="112">
        <f t="shared" si="56"/>
        <v>75950276.449999899</v>
      </c>
      <c r="H39" s="110">
        <f t="shared" si="56"/>
        <v>154686195.99000001</v>
      </c>
      <c r="I39" s="110">
        <f t="shared" si="56"/>
        <v>234569724</v>
      </c>
      <c r="J39" s="113">
        <f t="shared" si="56"/>
        <v>319781954.92999899</v>
      </c>
      <c r="K39" s="112">
        <f t="shared" si="56"/>
        <v>89457122</v>
      </c>
      <c r="L39" s="110">
        <f t="shared" si="56"/>
        <v>179952183</v>
      </c>
      <c r="M39" s="110">
        <f t="shared" si="56"/>
        <v>271261904</v>
      </c>
      <c r="N39" s="113">
        <f t="shared" si="56"/>
        <v>369037943</v>
      </c>
      <c r="O39" s="112">
        <f t="shared" si="56"/>
        <v>101293898.45999999</v>
      </c>
      <c r="P39" s="110">
        <f t="shared" si="56"/>
        <v>203729283</v>
      </c>
      <c r="Q39" s="110">
        <f t="shared" si="56"/>
        <v>307826508</v>
      </c>
      <c r="R39" s="113">
        <f t="shared" si="56"/>
        <v>417517937</v>
      </c>
      <c r="S39" s="112">
        <f t="shared" si="56"/>
        <v>107569631</v>
      </c>
      <c r="T39" s="110">
        <f t="shared" si="56"/>
        <v>196056707</v>
      </c>
      <c r="U39" s="110">
        <f t="shared" si="56"/>
        <v>297587499</v>
      </c>
      <c r="V39" s="113">
        <f t="shared" si="56"/>
        <v>399734317</v>
      </c>
      <c r="W39" s="112">
        <f t="shared" si="56"/>
        <v>105962135</v>
      </c>
      <c r="X39" s="110">
        <f t="shared" si="56"/>
        <v>215276784</v>
      </c>
      <c r="Y39" s="110">
        <f t="shared" si="56"/>
        <v>324551981</v>
      </c>
      <c r="AA39" s="120" t="s">
        <v>0</v>
      </c>
      <c r="AB39" s="160">
        <v>399734317</v>
      </c>
      <c r="AC39" s="113">
        <v>441139927</v>
      </c>
      <c r="AD39" s="113">
        <v>115137028</v>
      </c>
      <c r="AE39" s="113">
        <v>235046469</v>
      </c>
      <c r="AF39" s="113">
        <v>358725550</v>
      </c>
      <c r="AG39" s="113">
        <v>493541039</v>
      </c>
      <c r="AH39" s="113">
        <v>141234265</v>
      </c>
      <c r="AI39" s="113">
        <v>295927513</v>
      </c>
      <c r="AJ39" s="113">
        <v>452083017</v>
      </c>
      <c r="AK39" s="113">
        <v>616765502.8099947</v>
      </c>
      <c r="AL39" s="113">
        <v>177443357</v>
      </c>
      <c r="AM39" s="113">
        <v>359236564.93999684</v>
      </c>
      <c r="AN39" s="113">
        <v>543635942</v>
      </c>
    </row>
    <row r="40" spans="2:40" s="75" customFormat="1" ht="15.75" customHeight="1" x14ac:dyDescent="0.35">
      <c r="B40" s="8" t="s">
        <v>4</v>
      </c>
      <c r="C40" s="30">
        <f>C10</f>
        <v>61000709.920000002</v>
      </c>
      <c r="D40" s="4">
        <f t="shared" ref="D40:N40" si="57">D10</f>
        <v>122218948.19</v>
      </c>
      <c r="E40" s="4">
        <f t="shared" si="57"/>
        <v>181194339.86999938</v>
      </c>
      <c r="F40" s="31">
        <f t="shared" si="57"/>
        <v>248168622.28</v>
      </c>
      <c r="G40" s="30">
        <f t="shared" si="57"/>
        <v>69966053.839999929</v>
      </c>
      <c r="H40" s="4">
        <f t="shared" si="57"/>
        <v>141584681.19999972</v>
      </c>
      <c r="I40" s="4">
        <f t="shared" si="57"/>
        <v>214562625.75999999</v>
      </c>
      <c r="J40" s="31">
        <f t="shared" si="57"/>
        <v>300541873.51000118</v>
      </c>
      <c r="K40" s="30">
        <f t="shared" si="57"/>
        <v>83522403</v>
      </c>
      <c r="L40" s="4">
        <f t="shared" si="57"/>
        <v>170554303</v>
      </c>
      <c r="M40" s="4">
        <f t="shared" si="57"/>
        <v>253963191</v>
      </c>
      <c r="N40" s="31">
        <f t="shared" si="57"/>
        <v>345029621</v>
      </c>
      <c r="O40" s="30">
        <v>97426000</v>
      </c>
      <c r="P40" s="4">
        <v>195752000</v>
      </c>
      <c r="Q40" s="4">
        <v>295237000</v>
      </c>
      <c r="R40" s="31">
        <v>395404406.45000005</v>
      </c>
      <c r="S40" s="30">
        <v>103969560.55999999</v>
      </c>
      <c r="T40" s="4">
        <v>179819712.09999999</v>
      </c>
      <c r="U40" s="4">
        <v>273114546.68000001</v>
      </c>
      <c r="V40" s="31">
        <v>367922180.16999996</v>
      </c>
      <c r="W40" s="30">
        <v>100952572.55</v>
      </c>
      <c r="X40" s="4">
        <v>210427804.14999998</v>
      </c>
      <c r="Y40" s="4">
        <v>308925783.36000001</v>
      </c>
      <c r="AA40" s="8" t="s">
        <v>4</v>
      </c>
      <c r="AB40" s="161">
        <v>367922180.16999996</v>
      </c>
      <c r="AC40" s="31">
        <v>421117555.5</v>
      </c>
      <c r="AD40" s="31">
        <v>115521292.83</v>
      </c>
      <c r="AE40" s="31">
        <v>237616356.44999999</v>
      </c>
      <c r="AF40" s="31">
        <v>356990740.73999995</v>
      </c>
      <c r="AG40" s="31">
        <v>486089030.80000001</v>
      </c>
      <c r="AH40" s="31">
        <v>143884954.87</v>
      </c>
      <c r="AI40" s="31">
        <v>287918093.38</v>
      </c>
      <c r="AJ40" s="31">
        <v>436175681.19999999</v>
      </c>
      <c r="AK40" s="31">
        <v>594310275.51000082</v>
      </c>
      <c r="AL40" s="31">
        <v>168487361.68000001</v>
      </c>
      <c r="AM40" s="31">
        <v>337793136.92999995</v>
      </c>
      <c r="AN40" s="31">
        <v>503570668.49000001</v>
      </c>
    </row>
    <row r="41" spans="2:40" s="75" customFormat="1" ht="15.75" customHeight="1" x14ac:dyDescent="0.35">
      <c r="B41" s="18" t="s">
        <v>7</v>
      </c>
      <c r="C41" s="30">
        <f>C39-C40</f>
        <v>4203662.1099997982</v>
      </c>
      <c r="D41" s="4">
        <f t="shared" ref="D41:W41" si="58">D39-D40</f>
        <v>10768190.810000002</v>
      </c>
      <c r="E41" s="4">
        <f t="shared" si="58"/>
        <v>19284686.480001748</v>
      </c>
      <c r="F41" s="31">
        <f t="shared" si="58"/>
        <v>23458930.280001968</v>
      </c>
      <c r="G41" s="30">
        <f t="shared" si="58"/>
        <v>5984222.6099999696</v>
      </c>
      <c r="H41" s="4">
        <f t="shared" si="58"/>
        <v>13101514.79000029</v>
      </c>
      <c r="I41" s="4">
        <f t="shared" si="58"/>
        <v>20007098.24000001</v>
      </c>
      <c r="J41" s="31">
        <f t="shared" si="58"/>
        <v>19240081.419997811</v>
      </c>
      <c r="K41" s="30">
        <f t="shared" si="58"/>
        <v>5934719</v>
      </c>
      <c r="L41" s="4">
        <f t="shared" si="58"/>
        <v>9397880</v>
      </c>
      <c r="M41" s="4">
        <f t="shared" si="58"/>
        <v>17298713</v>
      </c>
      <c r="N41" s="31">
        <f t="shared" si="58"/>
        <v>24008322</v>
      </c>
      <c r="O41" s="30">
        <f t="shared" si="58"/>
        <v>3867898.4599999934</v>
      </c>
      <c r="P41" s="4">
        <f t="shared" si="58"/>
        <v>7977283</v>
      </c>
      <c r="Q41" s="4">
        <f t="shared" si="58"/>
        <v>12589508</v>
      </c>
      <c r="R41" s="31">
        <f t="shared" si="58"/>
        <v>22113530.549999952</v>
      </c>
      <c r="S41" s="30">
        <f t="shared" si="58"/>
        <v>3600070.4400000125</v>
      </c>
      <c r="T41" s="4">
        <f t="shared" si="58"/>
        <v>16236994.900000006</v>
      </c>
      <c r="U41" s="4">
        <f t="shared" si="58"/>
        <v>24472952.319999993</v>
      </c>
      <c r="V41" s="31">
        <f t="shared" si="58"/>
        <v>31812136.830000043</v>
      </c>
      <c r="W41" s="30">
        <f t="shared" si="58"/>
        <v>5009562.450000003</v>
      </c>
      <c r="X41" s="4">
        <f t="shared" ref="X41" si="59">X39-X40</f>
        <v>4848979.8500000238</v>
      </c>
      <c r="Y41" s="4">
        <f t="shared" ref="Y41" si="60">Y39-Y40</f>
        <v>15626197.639999986</v>
      </c>
      <c r="AA41" s="18" t="s">
        <v>7</v>
      </c>
      <c r="AB41" s="161">
        <f t="shared" ref="AB41:AC41" si="61">AB39-AB40</f>
        <v>31812136.830000043</v>
      </c>
      <c r="AC41" s="31">
        <f t="shared" si="61"/>
        <v>20022371.5</v>
      </c>
      <c r="AD41" s="31">
        <f t="shared" ref="AD41:AE41" si="62">AD39-AD40</f>
        <v>-384264.82999999821</v>
      </c>
      <c r="AE41" s="31">
        <f t="shared" si="62"/>
        <v>-2569887.4499999881</v>
      </c>
      <c r="AF41" s="31">
        <v>1734809.2600000501</v>
      </c>
      <c r="AG41" s="31">
        <v>7452008.1999999881</v>
      </c>
      <c r="AH41" s="31">
        <v>-2650689.8700000048</v>
      </c>
      <c r="AI41" s="31">
        <v>8009419.6200000048</v>
      </c>
      <c r="AJ41" s="31">
        <v>15907335.800000012</v>
      </c>
      <c r="AK41" s="31">
        <f>AK39-AK40</f>
        <v>22455227.299993873</v>
      </c>
      <c r="AL41" s="31">
        <f>AL39-AL40</f>
        <v>8955995.3199999928</v>
      </c>
      <c r="AM41" s="31">
        <f>AM39-AM40</f>
        <v>21443428.009996891</v>
      </c>
      <c r="AN41" s="31">
        <f>AN39-AN40</f>
        <v>40065273.50999999</v>
      </c>
    </row>
    <row r="42" spans="2:40" ht="15.75" customHeight="1" x14ac:dyDescent="0.35">
      <c r="B42" s="17" t="s">
        <v>9</v>
      </c>
      <c r="C42" s="26">
        <f t="shared" ref="C42:N42" si="63">C14+C15</f>
        <v>131974.9</v>
      </c>
      <c r="D42" s="3">
        <f t="shared" si="63"/>
        <v>346069</v>
      </c>
      <c r="E42" s="3">
        <f t="shared" si="63"/>
        <v>603931.7899999998</v>
      </c>
      <c r="F42" s="29">
        <f t="shared" si="63"/>
        <v>936991.19</v>
      </c>
      <c r="G42" s="26">
        <f t="shared" si="63"/>
        <v>277612.33999999997</v>
      </c>
      <c r="H42" s="3">
        <f t="shared" si="63"/>
        <v>728906.58000000007</v>
      </c>
      <c r="I42" s="3">
        <f t="shared" si="63"/>
        <v>1170233</v>
      </c>
      <c r="J42" s="29">
        <f t="shared" si="63"/>
        <v>1558130.75</v>
      </c>
      <c r="K42" s="26">
        <f t="shared" si="63"/>
        <v>367021</v>
      </c>
      <c r="L42" s="3">
        <f t="shared" si="63"/>
        <v>875752</v>
      </c>
      <c r="M42" s="3">
        <f t="shared" si="63"/>
        <v>1166350</v>
      </c>
      <c r="N42" s="29">
        <f t="shared" si="63"/>
        <v>1757757.79</v>
      </c>
      <c r="O42" s="26">
        <v>250000</v>
      </c>
      <c r="P42" s="3">
        <v>985000</v>
      </c>
      <c r="Q42" s="3">
        <v>1560000</v>
      </c>
      <c r="R42" s="29">
        <v>2436927</v>
      </c>
      <c r="S42" s="26">
        <v>609202</v>
      </c>
      <c r="T42" s="3">
        <v>1804529.54</v>
      </c>
      <c r="U42" s="3">
        <v>3410298.6100000003</v>
      </c>
      <c r="V42" s="29">
        <v>4532550.66</v>
      </c>
      <c r="W42" s="26">
        <v>603416.89999999991</v>
      </c>
      <c r="X42" s="3">
        <v>2098314.23</v>
      </c>
      <c r="Y42" s="3">
        <v>2657874</v>
      </c>
      <c r="AA42" s="17" t="s">
        <v>9</v>
      </c>
      <c r="AB42" s="162">
        <v>4532550.66</v>
      </c>
      <c r="AC42" s="29">
        <v>6352690.2300000004</v>
      </c>
      <c r="AD42" s="29">
        <v>3871591</v>
      </c>
      <c r="AE42" s="29">
        <v>3808090</v>
      </c>
      <c r="AF42" s="29">
        <v>5382512</v>
      </c>
      <c r="AG42" s="29">
        <v>8102166</v>
      </c>
      <c r="AH42" s="29">
        <v>1210904</v>
      </c>
      <c r="AI42" s="29">
        <v>4037482.21</v>
      </c>
      <c r="AJ42" s="29">
        <v>8855743.3100000005</v>
      </c>
      <c r="AK42" s="29">
        <v>14756944.709999999</v>
      </c>
      <c r="AL42" s="29">
        <v>474354.45</v>
      </c>
      <c r="AM42" s="29">
        <v>857516.13000000059</v>
      </c>
      <c r="AN42" s="29">
        <v>1504764.62</v>
      </c>
    </row>
    <row r="43" spans="2:40" ht="15.75" customHeight="1" x14ac:dyDescent="0.35">
      <c r="B43" s="19" t="s">
        <v>10</v>
      </c>
      <c r="C43" s="26">
        <f>C16</f>
        <v>2368710</v>
      </c>
      <c r="D43" s="3">
        <f t="shared" ref="D43:N43" si="64">D16</f>
        <v>4818335</v>
      </c>
      <c r="E43" s="3">
        <f t="shared" si="64"/>
        <v>7092089</v>
      </c>
      <c r="F43" s="29">
        <f t="shared" si="64"/>
        <v>9482629.0099999998</v>
      </c>
      <c r="G43" s="26">
        <f t="shared" si="64"/>
        <v>2444247.4800000004</v>
      </c>
      <c r="H43" s="3">
        <f t="shared" si="64"/>
        <v>5671815.21</v>
      </c>
      <c r="I43" s="3">
        <f t="shared" si="64"/>
        <v>8488213.0899999999</v>
      </c>
      <c r="J43" s="29">
        <f t="shared" si="64"/>
        <v>11701672</v>
      </c>
      <c r="K43" s="26">
        <f t="shared" si="64"/>
        <v>2878225</v>
      </c>
      <c r="L43" s="3">
        <f t="shared" si="64"/>
        <v>6338194</v>
      </c>
      <c r="M43" s="3">
        <f t="shared" si="64"/>
        <v>9608867</v>
      </c>
      <c r="N43" s="29">
        <f t="shared" si="64"/>
        <v>13043810</v>
      </c>
      <c r="O43" s="26">
        <v>2865000</v>
      </c>
      <c r="P43" s="3">
        <v>6195000</v>
      </c>
      <c r="Q43" s="3">
        <v>9226000</v>
      </c>
      <c r="R43" s="29">
        <v>12583400</v>
      </c>
      <c r="S43" s="26">
        <v>3106893</v>
      </c>
      <c r="T43" s="3">
        <v>5858108</v>
      </c>
      <c r="U43" s="3">
        <v>8841359</v>
      </c>
      <c r="V43" s="29">
        <v>12639948</v>
      </c>
      <c r="W43" s="26">
        <v>2945860</v>
      </c>
      <c r="X43" s="3">
        <v>4933507</v>
      </c>
      <c r="Y43" s="3">
        <v>10320569</v>
      </c>
      <c r="AA43" s="19" t="s">
        <v>10</v>
      </c>
      <c r="AB43" s="162">
        <v>12639948</v>
      </c>
      <c r="AC43" s="29">
        <v>14564239.079999996</v>
      </c>
      <c r="AD43" s="29">
        <v>4837940</v>
      </c>
      <c r="AE43" s="29">
        <v>12145057</v>
      </c>
      <c r="AF43" s="29">
        <v>19398044</v>
      </c>
      <c r="AG43" s="29">
        <v>27192827.420000002</v>
      </c>
      <c r="AH43" s="29">
        <v>5247636</v>
      </c>
      <c r="AI43" s="29">
        <v>11468573.819999991</v>
      </c>
      <c r="AJ43" s="29">
        <v>17668517</v>
      </c>
      <c r="AK43" s="29">
        <v>23594224.639999889</v>
      </c>
      <c r="AL43" s="29">
        <v>5498769.040000001</v>
      </c>
      <c r="AM43" s="29">
        <v>11031622.179999979</v>
      </c>
      <c r="AN43" s="29">
        <v>16517531.24999995</v>
      </c>
    </row>
    <row r="44" spans="2:40" ht="15.75" customHeight="1" x14ac:dyDescent="0.35">
      <c r="B44" s="19" t="s">
        <v>11</v>
      </c>
      <c r="C44" s="26">
        <f>C17</f>
        <v>1812649</v>
      </c>
      <c r="D44" s="3">
        <f t="shared" ref="D44:N44" si="65">D17</f>
        <v>3661533</v>
      </c>
      <c r="E44" s="3">
        <f t="shared" si="65"/>
        <v>5495276</v>
      </c>
      <c r="F44" s="29">
        <f t="shared" si="65"/>
        <v>7375622.8600000003</v>
      </c>
      <c r="G44" s="26">
        <f t="shared" si="65"/>
        <v>1852724.37</v>
      </c>
      <c r="H44" s="3">
        <f t="shared" si="65"/>
        <v>3969741.24</v>
      </c>
      <c r="I44" s="3">
        <f t="shared" si="65"/>
        <v>5873320.1500000004</v>
      </c>
      <c r="J44" s="29">
        <f t="shared" si="65"/>
        <v>7856254</v>
      </c>
      <c r="K44" s="26">
        <f t="shared" si="65"/>
        <v>2072736</v>
      </c>
      <c r="L44" s="3">
        <f t="shared" si="65"/>
        <v>4167511</v>
      </c>
      <c r="M44" s="3">
        <f t="shared" si="65"/>
        <v>6290147</v>
      </c>
      <c r="N44" s="29">
        <f t="shared" si="65"/>
        <v>8435302</v>
      </c>
      <c r="O44" s="26">
        <v>2288000</v>
      </c>
      <c r="P44" s="3">
        <v>4570000</v>
      </c>
      <c r="Q44" s="3">
        <v>5258000</v>
      </c>
      <c r="R44" s="29">
        <v>7051924</v>
      </c>
      <c r="S44" s="26">
        <v>1795872</v>
      </c>
      <c r="T44" s="3">
        <v>3260750</v>
      </c>
      <c r="U44" s="3">
        <v>5092670</v>
      </c>
      <c r="V44" s="29">
        <v>6987784</v>
      </c>
      <c r="W44" s="26">
        <v>1775124</v>
      </c>
      <c r="X44" s="3">
        <v>2988795</v>
      </c>
      <c r="Y44" s="3">
        <v>5994213</v>
      </c>
      <c r="AA44" s="19" t="s">
        <v>11</v>
      </c>
      <c r="AB44" s="162">
        <v>6987784</v>
      </c>
      <c r="AC44" s="29">
        <v>8645204.5099999979</v>
      </c>
      <c r="AD44" s="29">
        <v>2270081</v>
      </c>
      <c r="AE44" s="29">
        <v>4700037</v>
      </c>
      <c r="AF44" s="29">
        <v>7027009</v>
      </c>
      <c r="AG44" s="29">
        <v>9319620.6099999994</v>
      </c>
      <c r="AH44" s="29">
        <v>2130704</v>
      </c>
      <c r="AI44" s="29">
        <v>4504087.8499999996</v>
      </c>
      <c r="AJ44" s="29">
        <v>6884191</v>
      </c>
      <c r="AK44" s="29">
        <v>9310369.0100000016</v>
      </c>
      <c r="AL44" s="29">
        <v>2621316.7899999996</v>
      </c>
      <c r="AM44" s="29">
        <v>5194059.87</v>
      </c>
      <c r="AN44" s="29">
        <v>8173462.3599999994</v>
      </c>
    </row>
    <row r="45" spans="2:40" ht="15.75" customHeight="1" x14ac:dyDescent="0.35">
      <c r="B45" s="19" t="s">
        <v>13</v>
      </c>
      <c r="C45" s="26">
        <f t="shared" ref="C45:N45" si="66">C19+C18</f>
        <v>101985.73000000013</v>
      </c>
      <c r="D45" s="3">
        <f t="shared" si="66"/>
        <v>270242</v>
      </c>
      <c r="E45" s="3">
        <f t="shared" si="66"/>
        <v>332845</v>
      </c>
      <c r="F45" s="29">
        <f t="shared" si="66"/>
        <v>704944.83</v>
      </c>
      <c r="G45" s="26">
        <f t="shared" si="66"/>
        <v>177396.41999999998</v>
      </c>
      <c r="H45" s="3">
        <f t="shared" si="66"/>
        <v>434833.83</v>
      </c>
      <c r="I45" s="3">
        <f t="shared" si="66"/>
        <v>1203421</v>
      </c>
      <c r="J45" s="29">
        <f t="shared" si="66"/>
        <v>1067720.46</v>
      </c>
      <c r="K45" s="26">
        <f t="shared" si="66"/>
        <v>330788</v>
      </c>
      <c r="L45" s="3">
        <f t="shared" si="66"/>
        <v>828687</v>
      </c>
      <c r="M45" s="3">
        <f t="shared" si="66"/>
        <v>1040145</v>
      </c>
      <c r="N45" s="29">
        <f t="shared" si="66"/>
        <v>1290927.79</v>
      </c>
      <c r="O45" s="26">
        <v>487000</v>
      </c>
      <c r="P45" s="3">
        <v>720000</v>
      </c>
      <c r="Q45" s="3">
        <v>754000</v>
      </c>
      <c r="R45" s="29">
        <v>1411298</v>
      </c>
      <c r="S45" s="26">
        <v>275750</v>
      </c>
      <c r="T45" s="3">
        <v>1033515</v>
      </c>
      <c r="U45" s="3">
        <v>1405580</v>
      </c>
      <c r="V45" s="29">
        <v>1742370</v>
      </c>
      <c r="W45" s="26">
        <v>97594</v>
      </c>
      <c r="X45" s="3">
        <v>142483</v>
      </c>
      <c r="Y45" s="3">
        <v>293747</v>
      </c>
      <c r="AA45" s="19" t="s">
        <v>13</v>
      </c>
      <c r="AB45" s="162">
        <v>1742370</v>
      </c>
      <c r="AC45" s="29">
        <v>1437160</v>
      </c>
      <c r="AD45" s="29">
        <v>2514990</v>
      </c>
      <c r="AE45" s="29">
        <v>2091773</v>
      </c>
      <c r="AF45" s="29">
        <v>2330591</v>
      </c>
      <c r="AG45" s="29">
        <v>2824528</v>
      </c>
      <c r="AH45" s="29">
        <v>246389</v>
      </c>
      <c r="AI45" s="29">
        <v>480278.47</v>
      </c>
      <c r="AJ45" s="29">
        <v>756328.33000000007</v>
      </c>
      <c r="AK45" s="29">
        <v>6059183.209999999</v>
      </c>
      <c r="AL45" s="29">
        <v>176065</v>
      </c>
      <c r="AM45" s="29">
        <v>793525.6800000004</v>
      </c>
      <c r="AN45" s="29">
        <v>850638.14</v>
      </c>
    </row>
    <row r="46" spans="2:40" s="75" customFormat="1" ht="15.75" customHeight="1" x14ac:dyDescent="0.35">
      <c r="B46" s="121" t="s">
        <v>14</v>
      </c>
      <c r="C46" s="112">
        <f>C41+C42-C43-C44-C45</f>
        <v>52292.279999798484</v>
      </c>
      <c r="D46" s="110">
        <f t="shared" ref="D46:Y46" si="67">D41+D42-D43-D44-D45</f>
        <v>2364149.8100000024</v>
      </c>
      <c r="E46" s="110">
        <f t="shared" si="67"/>
        <v>6968408.2700017467</v>
      </c>
      <c r="F46" s="113">
        <f t="shared" si="67"/>
        <v>6832724.7700019693</v>
      </c>
      <c r="G46" s="112">
        <f t="shared" si="67"/>
        <v>1787466.679999969</v>
      </c>
      <c r="H46" s="110">
        <f t="shared" si="67"/>
        <v>3754031.0900002895</v>
      </c>
      <c r="I46" s="110">
        <f t="shared" si="67"/>
        <v>5612377.0000000093</v>
      </c>
      <c r="J46" s="113">
        <f t="shared" si="67"/>
        <v>172565.70999781135</v>
      </c>
      <c r="K46" s="112">
        <f t="shared" si="67"/>
        <v>1019991</v>
      </c>
      <c r="L46" s="110">
        <f t="shared" si="67"/>
        <v>-1060760</v>
      </c>
      <c r="M46" s="110">
        <f t="shared" si="67"/>
        <v>1525904</v>
      </c>
      <c r="N46" s="113">
        <f t="shared" si="67"/>
        <v>2996039.9999999991</v>
      </c>
      <c r="O46" s="112">
        <f t="shared" si="67"/>
        <v>-1522101.5400000066</v>
      </c>
      <c r="P46" s="110">
        <f t="shared" si="67"/>
        <v>-2522717</v>
      </c>
      <c r="Q46" s="110">
        <f t="shared" si="67"/>
        <v>-1088492</v>
      </c>
      <c r="R46" s="113">
        <f t="shared" si="67"/>
        <v>3503835.5499999523</v>
      </c>
      <c r="S46" s="112">
        <f t="shared" si="67"/>
        <v>-969242.55999998748</v>
      </c>
      <c r="T46" s="110">
        <f t="shared" si="67"/>
        <v>7889151.4400000051</v>
      </c>
      <c r="U46" s="110">
        <f t="shared" si="67"/>
        <v>12543641.929999992</v>
      </c>
      <c r="V46" s="113">
        <f t="shared" si="67"/>
        <v>14974585.490000039</v>
      </c>
      <c r="W46" s="112">
        <f t="shared" si="67"/>
        <v>794401.35000000335</v>
      </c>
      <c r="X46" s="110">
        <f t="shared" si="67"/>
        <v>-1117490.9199999757</v>
      </c>
      <c r="Y46" s="110">
        <f t="shared" si="67"/>
        <v>1675542.6399999857</v>
      </c>
      <c r="AA46" s="121" t="s">
        <v>14</v>
      </c>
      <c r="AB46" s="160">
        <f t="shared" ref="AB46:AC46" si="68">AB41+AB42-AB43-AB44-AB45</f>
        <v>14974585.490000039</v>
      </c>
      <c r="AC46" s="113">
        <f t="shared" si="68"/>
        <v>1728458.1400000062</v>
      </c>
      <c r="AD46" s="113">
        <f t="shared" ref="AD46:AE46" si="69">AD41+AD42-AD43-AD44-AD45</f>
        <v>-6135684.8299999982</v>
      </c>
      <c r="AE46" s="113">
        <f t="shared" si="69"/>
        <v>-17698664.449999988</v>
      </c>
      <c r="AF46" s="113">
        <f t="shared" ref="AF46:AG46" si="70">AF41+AF42-AF43-AF44-AF45</f>
        <v>-21638322.73999995</v>
      </c>
      <c r="AG46" s="113">
        <f t="shared" si="70"/>
        <v>-23782801.830000013</v>
      </c>
      <c r="AH46" s="113">
        <f t="shared" ref="AH46:AI46" si="71">AH41+AH42-AH43-AH44-AH45</f>
        <v>-9064514.8700000048</v>
      </c>
      <c r="AI46" s="113">
        <f t="shared" si="71"/>
        <v>-4406038.3099999847</v>
      </c>
      <c r="AJ46" s="113">
        <f t="shared" ref="AJ46:AK46" si="72">AJ41+AJ42-AJ43-AJ44-AJ45</f>
        <v>-545957.21999998577</v>
      </c>
      <c r="AK46" s="113">
        <f t="shared" si="72"/>
        <v>-1751604.850006016</v>
      </c>
      <c r="AL46" s="113">
        <f t="shared" ref="AL46:AM46" si="73">AL41+AL42-AL43-AL44-AL45</f>
        <v>1134198.9399999916</v>
      </c>
      <c r="AM46" s="113">
        <f t="shared" si="73"/>
        <v>5281736.40999691</v>
      </c>
      <c r="AN46" s="113">
        <f t="shared" ref="AN46" si="74">AN41+AN42-AN43-AN44-AN45</f>
        <v>16028406.38000004</v>
      </c>
    </row>
    <row r="47" spans="2:40" ht="15.75" customHeight="1" x14ac:dyDescent="0.35">
      <c r="B47" s="19" t="s">
        <v>15</v>
      </c>
      <c r="C47" s="26">
        <f>C21</f>
        <v>1220</v>
      </c>
      <c r="D47" s="3">
        <f t="shared" ref="D47:N47" si="75">D21</f>
        <v>8574</v>
      </c>
      <c r="E47" s="3">
        <f t="shared" si="75"/>
        <v>1450</v>
      </c>
      <c r="F47" s="29">
        <f t="shared" si="75"/>
        <v>1531</v>
      </c>
      <c r="G47" s="26">
        <f t="shared" si="75"/>
        <v>91.28</v>
      </c>
      <c r="H47" s="3">
        <f t="shared" si="75"/>
        <v>873</v>
      </c>
      <c r="I47" s="3">
        <f t="shared" si="75"/>
        <v>1838</v>
      </c>
      <c r="J47" s="29">
        <f t="shared" si="75"/>
        <v>3188.37</v>
      </c>
      <c r="K47" s="26">
        <f t="shared" si="75"/>
        <v>41928</v>
      </c>
      <c r="L47" s="3">
        <f t="shared" si="75"/>
        <v>44302</v>
      </c>
      <c r="M47" s="3">
        <f t="shared" si="75"/>
        <v>140781</v>
      </c>
      <c r="N47" s="29">
        <f t="shared" si="75"/>
        <v>141743</v>
      </c>
      <c r="O47" s="26">
        <v>2000</v>
      </c>
      <c r="P47" s="3">
        <v>0</v>
      </c>
      <c r="Q47" s="3">
        <v>535000</v>
      </c>
      <c r="R47" s="29">
        <v>14437.719999999972</v>
      </c>
      <c r="S47" s="26">
        <v>2</v>
      </c>
      <c r="T47" s="3">
        <v>266730</v>
      </c>
      <c r="U47" s="3">
        <v>267478</v>
      </c>
      <c r="V47" s="29">
        <v>146734</v>
      </c>
      <c r="W47" s="26">
        <v>3878</v>
      </c>
      <c r="X47" s="3">
        <v>0</v>
      </c>
      <c r="Y47" s="3">
        <v>4867</v>
      </c>
      <c r="AA47" s="19" t="s">
        <v>15</v>
      </c>
      <c r="AB47" s="162">
        <v>146734</v>
      </c>
      <c r="AC47" s="29">
        <v>13750.47000000393</v>
      </c>
      <c r="AD47" s="29">
        <v>80503</v>
      </c>
      <c r="AE47" s="29">
        <v>389263</v>
      </c>
      <c r="AF47" s="29">
        <v>532444</v>
      </c>
      <c r="AG47" s="29">
        <v>581867</v>
      </c>
      <c r="AH47" s="29">
        <v>718</v>
      </c>
      <c r="AI47" s="29">
        <v>64816.860000001267</v>
      </c>
      <c r="AJ47" s="29">
        <v>86511.540000000503</v>
      </c>
      <c r="AK47" s="29">
        <v>115621.45000000112</v>
      </c>
      <c r="AL47" s="29">
        <v>7337.6899999999441</v>
      </c>
      <c r="AM47" s="29">
        <v>342217.73000000021</v>
      </c>
      <c r="AN47" s="29">
        <v>449966.23</v>
      </c>
    </row>
    <row r="48" spans="2:40" ht="15.75" customHeight="1" x14ac:dyDescent="0.35">
      <c r="B48" s="19" t="s">
        <v>16</v>
      </c>
      <c r="C48" s="26">
        <f>C22</f>
        <v>293120</v>
      </c>
      <c r="D48" s="3">
        <f t="shared" ref="D48:N48" si="76">D22</f>
        <v>579127</v>
      </c>
      <c r="E48" s="3">
        <f t="shared" si="76"/>
        <v>885490.93</v>
      </c>
      <c r="F48" s="29">
        <f t="shared" si="76"/>
        <v>1222103.47</v>
      </c>
      <c r="G48" s="26">
        <f t="shared" si="76"/>
        <v>332763.18</v>
      </c>
      <c r="H48" s="3">
        <f t="shared" si="76"/>
        <v>659017.76</v>
      </c>
      <c r="I48" s="3">
        <f t="shared" si="76"/>
        <v>998926</v>
      </c>
      <c r="J48" s="29">
        <f t="shared" si="76"/>
        <v>1320012.21</v>
      </c>
      <c r="K48" s="26">
        <f t="shared" si="76"/>
        <v>464543</v>
      </c>
      <c r="L48" s="3">
        <f t="shared" si="76"/>
        <v>899268</v>
      </c>
      <c r="M48" s="3">
        <f t="shared" si="76"/>
        <v>1304848</v>
      </c>
      <c r="N48" s="29">
        <f t="shared" si="76"/>
        <v>2007789</v>
      </c>
      <c r="O48" s="26">
        <v>485000</v>
      </c>
      <c r="P48" s="3">
        <v>976000</v>
      </c>
      <c r="Q48" s="3">
        <v>2442624.21</v>
      </c>
      <c r="R48" s="29">
        <v>2431417.7700000005</v>
      </c>
      <c r="S48" s="26">
        <v>338946.65000000037</v>
      </c>
      <c r="T48" s="3">
        <v>755192.66999999806</v>
      </c>
      <c r="U48" s="3">
        <v>1002883.7800000012</v>
      </c>
      <c r="V48" s="29">
        <v>6265521.8799999971</v>
      </c>
      <c r="W48" s="26">
        <v>300341.31000000029</v>
      </c>
      <c r="X48" s="3">
        <v>629675.23999999929</v>
      </c>
      <c r="Y48" s="3">
        <v>881927.71000000089</v>
      </c>
      <c r="AA48" s="19" t="s">
        <v>16</v>
      </c>
      <c r="AB48" s="162">
        <v>6265521.8799999971</v>
      </c>
      <c r="AC48" s="29">
        <v>1342735.9999999981</v>
      </c>
      <c r="AD48" s="29">
        <v>297571.93000000017</v>
      </c>
      <c r="AE48" s="29">
        <v>831768.01999999955</v>
      </c>
      <c r="AF48" s="29">
        <v>1199632.0300000012</v>
      </c>
      <c r="AG48" s="29">
        <v>1649821.3399999994</v>
      </c>
      <c r="AH48" s="29">
        <v>662847.28</v>
      </c>
      <c r="AI48" s="29">
        <v>1418050.7200000002</v>
      </c>
      <c r="AJ48" s="29">
        <v>2137269.1199999992</v>
      </c>
      <c r="AK48" s="29">
        <v>2933476.2700000005</v>
      </c>
      <c r="AL48" s="29">
        <v>787360.99999999953</v>
      </c>
      <c r="AM48" s="29">
        <v>1721561.8200000003</v>
      </c>
      <c r="AN48" s="29">
        <v>2508206.9400000004</v>
      </c>
    </row>
    <row r="49" spans="2:40" ht="15.75" customHeight="1" x14ac:dyDescent="0.35">
      <c r="B49" s="19" t="s">
        <v>17</v>
      </c>
      <c r="C49" s="26">
        <f>C23</f>
        <v>0</v>
      </c>
      <c r="D49" s="3">
        <f t="shared" ref="D49:N49" si="77">D23</f>
        <v>0</v>
      </c>
      <c r="E49" s="3">
        <f t="shared" si="77"/>
        <v>0</v>
      </c>
      <c r="F49" s="29">
        <f t="shared" si="77"/>
        <v>0</v>
      </c>
      <c r="G49" s="26">
        <f t="shared" si="77"/>
        <v>0</v>
      </c>
      <c r="H49" s="3">
        <f t="shared" si="77"/>
        <v>0</v>
      </c>
      <c r="I49" s="3">
        <f t="shared" si="77"/>
        <v>0</v>
      </c>
      <c r="J49" s="29">
        <f t="shared" si="77"/>
        <v>0</v>
      </c>
      <c r="K49" s="26">
        <f t="shared" si="77"/>
        <v>0</v>
      </c>
      <c r="L49" s="3">
        <f t="shared" si="77"/>
        <v>0</v>
      </c>
      <c r="M49" s="3">
        <f t="shared" si="77"/>
        <v>0</v>
      </c>
      <c r="N49" s="29">
        <f t="shared" si="77"/>
        <v>0</v>
      </c>
      <c r="O49" s="26"/>
      <c r="P49" s="3"/>
      <c r="Q49" s="3"/>
      <c r="R49" s="29"/>
      <c r="S49" s="26"/>
      <c r="T49" s="3"/>
      <c r="U49" s="3"/>
      <c r="V49" s="29"/>
      <c r="W49" s="26"/>
      <c r="X49" s="3"/>
      <c r="Y49" s="3"/>
      <c r="AA49" s="19" t="s">
        <v>17</v>
      </c>
      <c r="AB49" s="162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</row>
    <row r="50" spans="2:40" s="75" customFormat="1" ht="15.75" customHeight="1" x14ac:dyDescent="0.35">
      <c r="B50" s="121" t="s">
        <v>18</v>
      </c>
      <c r="C50" s="112">
        <f>C46+C47+C49-C48</f>
        <v>-239607.72000020152</v>
      </c>
      <c r="D50" s="110">
        <f t="shared" ref="D50:Y50" si="78">D46+D47+D49-D48</f>
        <v>1793596.8100000024</v>
      </c>
      <c r="E50" s="110">
        <f t="shared" si="78"/>
        <v>6084367.340001747</v>
      </c>
      <c r="F50" s="113">
        <f t="shared" si="78"/>
        <v>5612152.3000019696</v>
      </c>
      <c r="G50" s="112">
        <f t="shared" si="78"/>
        <v>1454794.7799999691</v>
      </c>
      <c r="H50" s="110">
        <f t="shared" si="78"/>
        <v>3095886.3300002897</v>
      </c>
      <c r="I50" s="110">
        <f t="shared" si="78"/>
        <v>4615289.0000000093</v>
      </c>
      <c r="J50" s="113">
        <f t="shared" si="78"/>
        <v>-1144258.1300021885</v>
      </c>
      <c r="K50" s="112">
        <f t="shared" si="78"/>
        <v>597376</v>
      </c>
      <c r="L50" s="110">
        <f t="shared" si="78"/>
        <v>-1915726</v>
      </c>
      <c r="M50" s="110">
        <f t="shared" si="78"/>
        <v>361837</v>
      </c>
      <c r="N50" s="113">
        <f t="shared" si="78"/>
        <v>1129993.9999999991</v>
      </c>
      <c r="O50" s="112">
        <f t="shared" si="78"/>
        <v>-2005101.5400000066</v>
      </c>
      <c r="P50" s="110">
        <f t="shared" si="78"/>
        <v>-3498717</v>
      </c>
      <c r="Q50" s="110">
        <f t="shared" si="78"/>
        <v>-2996116.21</v>
      </c>
      <c r="R50" s="113">
        <f t="shared" si="78"/>
        <v>1086855.4999999516</v>
      </c>
      <c r="S50" s="112">
        <f t="shared" si="78"/>
        <v>-1308187.2099999879</v>
      </c>
      <c r="T50" s="110">
        <f t="shared" si="78"/>
        <v>7400688.770000007</v>
      </c>
      <c r="U50" s="110">
        <f t="shared" si="78"/>
        <v>11808236.149999991</v>
      </c>
      <c r="V50" s="113">
        <f t="shared" si="78"/>
        <v>8855797.6100000422</v>
      </c>
      <c r="W50" s="112">
        <f t="shared" si="78"/>
        <v>497938.04000000306</v>
      </c>
      <c r="X50" s="110">
        <f t="shared" si="78"/>
        <v>-1747166.159999975</v>
      </c>
      <c r="Y50" s="110">
        <f t="shared" si="78"/>
        <v>798481.9299999848</v>
      </c>
      <c r="AA50" s="121" t="s">
        <v>18</v>
      </c>
      <c r="AB50" s="160">
        <f t="shared" ref="AB50:AC50" si="79">AB46+AB47+AB49-AB48</f>
        <v>8855797.6100000422</v>
      </c>
      <c r="AC50" s="113">
        <f t="shared" si="79"/>
        <v>399472.61000001198</v>
      </c>
      <c r="AD50" s="113">
        <f t="shared" ref="AD50:AE50" si="80">AD46+AD47+AD49-AD48</f>
        <v>-6352753.7599999979</v>
      </c>
      <c r="AE50" s="113">
        <f t="shared" si="80"/>
        <v>-18141169.469999988</v>
      </c>
      <c r="AF50" s="113">
        <f t="shared" ref="AF50:AG50" si="81">AF46+AF47+AF49-AF48</f>
        <v>-22305510.769999951</v>
      </c>
      <c r="AG50" s="113">
        <f t="shared" si="81"/>
        <v>-24850756.170000013</v>
      </c>
      <c r="AH50" s="113">
        <f t="shared" ref="AH50:AI50" si="82">AH46+AH47+AH49-AH48</f>
        <v>-9726644.1500000041</v>
      </c>
      <c r="AI50" s="113">
        <f t="shared" si="82"/>
        <v>-5759272.1699999832</v>
      </c>
      <c r="AJ50" s="113">
        <f t="shared" ref="AJ50:AK50" si="83">AJ46+AJ47+AJ49-AJ48</f>
        <v>-2596714.7999999844</v>
      </c>
      <c r="AK50" s="113">
        <f t="shared" si="83"/>
        <v>-4569459.6700060153</v>
      </c>
      <c r="AL50" s="113">
        <f t="shared" ref="AL50:AM50" si="84">AL46+AL47+AL49-AL48</f>
        <v>354175.62999999197</v>
      </c>
      <c r="AM50" s="113">
        <f t="shared" si="84"/>
        <v>3902392.3199969102</v>
      </c>
      <c r="AN50" s="113">
        <f t="shared" ref="AN50" si="85">AN46+AN47+AN49-AN48</f>
        <v>13970165.670000039</v>
      </c>
    </row>
    <row r="51" spans="2:40" ht="15.75" customHeight="1" x14ac:dyDescent="0.35">
      <c r="B51" s="19" t="s">
        <v>19</v>
      </c>
      <c r="C51" s="26">
        <f>C25</f>
        <v>17794</v>
      </c>
      <c r="D51" s="3">
        <f t="shared" ref="D51:N51" si="86">D25</f>
        <v>436045</v>
      </c>
      <c r="E51" s="3">
        <f t="shared" si="86"/>
        <v>1302843</v>
      </c>
      <c r="F51" s="29">
        <f t="shared" si="86"/>
        <v>1244675</v>
      </c>
      <c r="G51" s="26">
        <f t="shared" si="86"/>
        <v>832129</v>
      </c>
      <c r="H51" s="3">
        <f t="shared" si="86"/>
        <v>696412</v>
      </c>
      <c r="I51" s="3">
        <f t="shared" si="86"/>
        <v>1006203</v>
      </c>
      <c r="J51" s="29">
        <f t="shared" si="86"/>
        <v>-11032</v>
      </c>
      <c r="K51" s="26">
        <f t="shared" si="86"/>
        <v>175395</v>
      </c>
      <c r="L51" s="3">
        <f t="shared" si="86"/>
        <v>-115123</v>
      </c>
      <c r="M51" s="3">
        <f t="shared" si="86"/>
        <v>300536</v>
      </c>
      <c r="N51" s="29">
        <f t="shared" si="86"/>
        <v>633702</v>
      </c>
      <c r="O51" s="26">
        <v>134000</v>
      </c>
      <c r="P51" s="3">
        <v>85000</v>
      </c>
      <c r="Q51" s="3">
        <v>313000</v>
      </c>
      <c r="R51" s="29">
        <v>1221509</v>
      </c>
      <c r="S51" s="26">
        <v>-240368</v>
      </c>
      <c r="T51" s="3">
        <v>1143566</v>
      </c>
      <c r="U51" s="3">
        <v>2366887</v>
      </c>
      <c r="V51" s="29">
        <v>2399951</v>
      </c>
      <c r="W51" s="26">
        <v>3481664</v>
      </c>
      <c r="X51" s="3">
        <v>3273969</v>
      </c>
      <c r="Y51" s="3">
        <v>3612202</v>
      </c>
      <c r="AA51" s="19" t="s">
        <v>19</v>
      </c>
      <c r="AB51" s="162">
        <v>2399951</v>
      </c>
      <c r="AC51" s="29">
        <v>4109624</v>
      </c>
      <c r="AD51" s="29">
        <v>-657701</v>
      </c>
      <c r="AE51" s="29">
        <v>1494005</v>
      </c>
      <c r="AF51" s="29">
        <v>1497792</v>
      </c>
      <c r="AG51" s="29">
        <v>-465479</v>
      </c>
      <c r="AH51" s="29">
        <v>-653694</v>
      </c>
      <c r="AI51" s="29">
        <v>1767337</v>
      </c>
      <c r="AJ51" s="29">
        <v>2203137.7200000002</v>
      </c>
      <c r="AK51" s="29">
        <v>2105064</v>
      </c>
      <c r="AL51" s="29">
        <v>1318417.48</v>
      </c>
      <c r="AM51" s="29">
        <v>2498018.694999869</v>
      </c>
      <c r="AN51" s="29">
        <v>4679267</v>
      </c>
    </row>
    <row r="52" spans="2:40" s="75" customFormat="1" ht="15.75" customHeight="1" x14ac:dyDescent="0.35">
      <c r="B52" s="18" t="s">
        <v>20</v>
      </c>
      <c r="C52" s="30">
        <f>C50-C51</f>
        <v>-257401.72000020152</v>
      </c>
      <c r="D52" s="4">
        <f t="shared" ref="D52:Y52" si="87">D50-D51</f>
        <v>1357551.8100000024</v>
      </c>
      <c r="E52" s="4">
        <f t="shared" si="87"/>
        <v>4781524.340001747</v>
      </c>
      <c r="F52" s="31">
        <f t="shared" si="87"/>
        <v>4367477.3000019696</v>
      </c>
      <c r="G52" s="30">
        <f t="shared" si="87"/>
        <v>622665.77999996906</v>
      </c>
      <c r="H52" s="4">
        <f t="shared" si="87"/>
        <v>2399474.3300002897</v>
      </c>
      <c r="I52" s="4">
        <f t="shared" si="87"/>
        <v>3609086.0000000093</v>
      </c>
      <c r="J52" s="31">
        <f t="shared" si="87"/>
        <v>-1133226.1300021885</v>
      </c>
      <c r="K52" s="30">
        <f t="shared" si="87"/>
        <v>421981</v>
      </c>
      <c r="L52" s="4">
        <f t="shared" si="87"/>
        <v>-1800603</v>
      </c>
      <c r="M52" s="4">
        <f t="shared" si="87"/>
        <v>61301</v>
      </c>
      <c r="N52" s="31">
        <f t="shared" si="87"/>
        <v>496291.99999999907</v>
      </c>
      <c r="O52" s="30">
        <f t="shared" si="87"/>
        <v>-2139101.5400000066</v>
      </c>
      <c r="P52" s="4">
        <f t="shared" si="87"/>
        <v>-3583717</v>
      </c>
      <c r="Q52" s="4">
        <f t="shared" si="87"/>
        <v>-3309116.21</v>
      </c>
      <c r="R52" s="31">
        <f t="shared" si="87"/>
        <v>-134653.50000004843</v>
      </c>
      <c r="S52" s="30">
        <f t="shared" si="87"/>
        <v>-1067819.2099999879</v>
      </c>
      <c r="T52" s="4">
        <f t="shared" si="87"/>
        <v>6257122.770000007</v>
      </c>
      <c r="U52" s="4">
        <f t="shared" si="87"/>
        <v>9441349.1499999911</v>
      </c>
      <c r="V52" s="31">
        <f t="shared" si="87"/>
        <v>6455846.6100000422</v>
      </c>
      <c r="W52" s="30">
        <f t="shared" si="87"/>
        <v>-2983725.9599999972</v>
      </c>
      <c r="X52" s="4">
        <f t="shared" si="87"/>
        <v>-5021135.159999975</v>
      </c>
      <c r="Y52" s="4">
        <f t="shared" si="87"/>
        <v>-2813720.0700000152</v>
      </c>
      <c r="AA52" s="18" t="s">
        <v>20</v>
      </c>
      <c r="AB52" s="161">
        <f t="shared" ref="AB52:AC52" si="88">AB50-AB51</f>
        <v>6455846.6100000422</v>
      </c>
      <c r="AC52" s="31">
        <f t="shared" si="88"/>
        <v>-3710151.389999988</v>
      </c>
      <c r="AD52" s="31">
        <f t="shared" ref="AD52:AE52" si="89">AD50-AD51</f>
        <v>-5695052.7599999979</v>
      </c>
      <c r="AE52" s="31">
        <f t="shared" si="89"/>
        <v>-19635174.469999988</v>
      </c>
      <c r="AF52" s="31">
        <f t="shared" ref="AF52:AG52" si="90">AF50-AF51</f>
        <v>-23803302.769999951</v>
      </c>
      <c r="AG52" s="31">
        <f t="shared" si="90"/>
        <v>-24385277.170000013</v>
      </c>
      <c r="AH52" s="31">
        <f t="shared" ref="AH52:AI52" si="91">AH50-AH51</f>
        <v>-9072950.1500000041</v>
      </c>
      <c r="AI52" s="31">
        <f t="shared" si="91"/>
        <v>-7526609.1699999832</v>
      </c>
      <c r="AJ52" s="31">
        <f t="shared" ref="AJ52:AK52" si="92">AJ50-AJ51</f>
        <v>-4799852.5199999847</v>
      </c>
      <c r="AK52" s="31">
        <f t="shared" si="92"/>
        <v>-6674523.6700060153</v>
      </c>
      <c r="AL52" s="31">
        <f t="shared" ref="AL52:AM52" si="93">AL50-AL51</f>
        <v>-964241.85000000801</v>
      </c>
      <c r="AM52" s="31">
        <f t="shared" si="93"/>
        <v>1404373.6249970412</v>
      </c>
      <c r="AN52" s="31">
        <f t="shared" ref="AN52" si="94">AN50-AN51</f>
        <v>9290898.670000039</v>
      </c>
    </row>
    <row r="53" spans="2:40" s="75" customFormat="1" ht="15.75" customHeight="1" x14ac:dyDescent="0.35">
      <c r="B53" s="20" t="s">
        <v>21</v>
      </c>
      <c r="C53" s="30"/>
      <c r="D53" s="4"/>
      <c r="E53" s="4"/>
      <c r="F53" s="31"/>
      <c r="G53" s="30"/>
      <c r="H53" s="4"/>
      <c r="I53" s="4"/>
      <c r="J53" s="31"/>
      <c r="K53" s="30"/>
      <c r="L53" s="4"/>
      <c r="M53" s="4"/>
      <c r="N53" s="31"/>
      <c r="O53" s="30"/>
      <c r="P53" s="4"/>
      <c r="Q53" s="4"/>
      <c r="R53" s="31"/>
      <c r="S53" s="30"/>
      <c r="T53" s="4"/>
      <c r="U53" s="4"/>
      <c r="V53" s="31"/>
      <c r="W53" s="30"/>
      <c r="X53" s="4"/>
      <c r="Y53" s="4"/>
      <c r="AA53" s="20" t="s">
        <v>21</v>
      </c>
      <c r="AB53" s="16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</row>
    <row r="54" spans="2:40" s="75" customFormat="1" ht="15.75" customHeight="1" thickBot="1" x14ac:dyDescent="0.4">
      <c r="B54" s="121" t="s">
        <v>22</v>
      </c>
      <c r="C54" s="114">
        <f>C52+C53</f>
        <v>-257401.72000020152</v>
      </c>
      <c r="D54" s="115">
        <f t="shared" ref="D54:Y54" si="95">D52+D53</f>
        <v>1357551.8100000024</v>
      </c>
      <c r="E54" s="115">
        <f t="shared" si="95"/>
        <v>4781524.340001747</v>
      </c>
      <c r="F54" s="116">
        <f t="shared" si="95"/>
        <v>4367477.3000019696</v>
      </c>
      <c r="G54" s="114">
        <f t="shared" si="95"/>
        <v>622665.77999996906</v>
      </c>
      <c r="H54" s="115">
        <f t="shared" si="95"/>
        <v>2399474.3300002897</v>
      </c>
      <c r="I54" s="115">
        <f t="shared" si="95"/>
        <v>3609086.0000000093</v>
      </c>
      <c r="J54" s="116">
        <f t="shared" si="95"/>
        <v>-1133226.1300021885</v>
      </c>
      <c r="K54" s="114">
        <f t="shared" si="95"/>
        <v>421981</v>
      </c>
      <c r="L54" s="115">
        <f t="shared" si="95"/>
        <v>-1800603</v>
      </c>
      <c r="M54" s="115">
        <f t="shared" si="95"/>
        <v>61301</v>
      </c>
      <c r="N54" s="116">
        <f t="shared" si="95"/>
        <v>496291.99999999907</v>
      </c>
      <c r="O54" s="114">
        <f t="shared" si="95"/>
        <v>-2139101.5400000066</v>
      </c>
      <c r="P54" s="115">
        <f t="shared" si="95"/>
        <v>-3583717</v>
      </c>
      <c r="Q54" s="115">
        <f t="shared" si="95"/>
        <v>-3309116.21</v>
      </c>
      <c r="R54" s="116">
        <f t="shared" si="95"/>
        <v>-134653.50000004843</v>
      </c>
      <c r="S54" s="114">
        <f t="shared" si="95"/>
        <v>-1067819.2099999879</v>
      </c>
      <c r="T54" s="115">
        <f t="shared" si="95"/>
        <v>6257122.770000007</v>
      </c>
      <c r="U54" s="115">
        <f t="shared" si="95"/>
        <v>9441349.1499999911</v>
      </c>
      <c r="V54" s="116">
        <f t="shared" si="95"/>
        <v>6455846.6100000422</v>
      </c>
      <c r="W54" s="114">
        <f t="shared" si="95"/>
        <v>-2983725.9599999972</v>
      </c>
      <c r="X54" s="115">
        <f t="shared" si="95"/>
        <v>-5021135.159999975</v>
      </c>
      <c r="Y54" s="115">
        <f t="shared" si="95"/>
        <v>-2813720.0700000152</v>
      </c>
      <c r="AA54" s="121" t="s">
        <v>22</v>
      </c>
      <c r="AB54" s="163">
        <f t="shared" ref="AB54:AC54" si="96">AB52+AB53</f>
        <v>6455846.6100000422</v>
      </c>
      <c r="AC54" s="116">
        <f t="shared" si="96"/>
        <v>-3710151.389999988</v>
      </c>
      <c r="AD54" s="116">
        <f t="shared" ref="AD54:AE54" si="97">AD52+AD53</f>
        <v>-5695052.7599999979</v>
      </c>
      <c r="AE54" s="116">
        <f t="shared" si="97"/>
        <v>-19635174.469999988</v>
      </c>
      <c r="AF54" s="116">
        <f t="shared" ref="AF54:AG54" si="98">AF52+AF53</f>
        <v>-23803302.769999951</v>
      </c>
      <c r="AG54" s="116">
        <f t="shared" si="98"/>
        <v>-24385277.170000013</v>
      </c>
      <c r="AH54" s="116">
        <f t="shared" ref="AH54:AI54" si="99">AH52+AH53</f>
        <v>-9072950.1500000041</v>
      </c>
      <c r="AI54" s="116">
        <f t="shared" si="99"/>
        <v>-7526609.1699999832</v>
      </c>
      <c r="AJ54" s="116">
        <f t="shared" ref="AJ54:AK54" si="100">AJ52+AJ53</f>
        <v>-4799852.5199999847</v>
      </c>
      <c r="AK54" s="116">
        <f t="shared" si="100"/>
        <v>-6674523.6700060153</v>
      </c>
      <c r="AL54" s="116">
        <f t="shared" ref="AL54:AM54" si="101">AL52+AL53</f>
        <v>-964241.85000000801</v>
      </c>
      <c r="AM54" s="116">
        <f t="shared" si="101"/>
        <v>1404373.6249970412</v>
      </c>
      <c r="AN54" s="116">
        <f t="shared" ref="AN54" si="102">AN52+AN53</f>
        <v>9290898.670000039</v>
      </c>
    </row>
    <row r="55" spans="2:40" ht="15.75" customHeight="1" thickBot="1" x14ac:dyDescent="0.4">
      <c r="B55" s="109"/>
      <c r="AA55" s="109"/>
    </row>
    <row r="56" spans="2:40" x14ac:dyDescent="0.35">
      <c r="B56" s="122" t="s">
        <v>65</v>
      </c>
      <c r="C56" s="117">
        <f>CF!C9</f>
        <v>3211176.1</v>
      </c>
      <c r="D56" s="118">
        <f>CF!D9</f>
        <v>6638465.4199999999</v>
      </c>
      <c r="E56" s="118">
        <f>CF!E9</f>
        <v>10119626.68</v>
      </c>
      <c r="F56" s="119">
        <f>CF!F9</f>
        <v>13806950.970000068</v>
      </c>
      <c r="G56" s="117">
        <f>CF!G9</f>
        <v>3751707.7</v>
      </c>
      <c r="H56" s="118">
        <f>CF!H9</f>
        <v>7575103.8600000003</v>
      </c>
      <c r="I56" s="118">
        <f>CF!I9</f>
        <v>11474581.060000001</v>
      </c>
      <c r="J56" s="119">
        <f>CF!J9</f>
        <v>15537120.210000429</v>
      </c>
      <c r="K56" s="117">
        <f>CF!K9</f>
        <v>4068291</v>
      </c>
      <c r="L56" s="118">
        <f>CF!L9</f>
        <v>8242093</v>
      </c>
      <c r="M56" s="118">
        <f>CF!M9</f>
        <v>12607214</v>
      </c>
      <c r="N56" s="119">
        <f>CF!N9</f>
        <v>17097445.75</v>
      </c>
      <c r="O56" s="117">
        <v>4874000</v>
      </c>
      <c r="P56" s="118">
        <v>10026000</v>
      </c>
      <c r="Q56" s="118">
        <v>15231000</v>
      </c>
      <c r="R56" s="119">
        <v>20235889</v>
      </c>
      <c r="S56" s="117">
        <v>5066237.82</v>
      </c>
      <c r="T56" s="118">
        <v>10153694.219999988</v>
      </c>
      <c r="U56" s="118">
        <v>15150050.479999986</v>
      </c>
      <c r="V56" s="119">
        <v>20103665.769999996</v>
      </c>
      <c r="W56" s="117">
        <v>5027995</v>
      </c>
      <c r="X56" s="118">
        <v>10100623.399999879</v>
      </c>
      <c r="Y56" s="118">
        <v>15297349</v>
      </c>
      <c r="AA56" s="122" t="s">
        <v>65</v>
      </c>
      <c r="AB56" s="165">
        <v>20103666</v>
      </c>
      <c r="AC56" s="119">
        <v>20793079.290000007</v>
      </c>
      <c r="AD56" s="119">
        <v>5606815.9399999995</v>
      </c>
      <c r="AE56" s="119">
        <v>11335108.710000001</v>
      </c>
      <c r="AF56" s="119">
        <v>17329515.529999997</v>
      </c>
      <c r="AG56" s="119">
        <v>23433518.199999996</v>
      </c>
      <c r="AH56" s="119">
        <v>6526282.120000001</v>
      </c>
      <c r="AI56" s="119">
        <v>13165071.52</v>
      </c>
      <c r="AJ56" s="119">
        <v>19970361.779999793</v>
      </c>
      <c r="AK56" s="119">
        <v>26412011.859999985</v>
      </c>
      <c r="AL56" s="119">
        <v>6302375.099999994</v>
      </c>
      <c r="AM56" s="119">
        <v>13050930.659999993</v>
      </c>
      <c r="AN56" s="119">
        <v>20604143.009999998</v>
      </c>
    </row>
    <row r="57" spans="2:40" s="75" customFormat="1" x14ac:dyDescent="0.35">
      <c r="B57" s="121" t="s">
        <v>169</v>
      </c>
      <c r="C57" s="112">
        <f>C46+C56</f>
        <v>3263468.3799997987</v>
      </c>
      <c r="D57" s="110">
        <f t="shared" ref="D57:Y57" si="103">D46+D56</f>
        <v>9002615.2300000023</v>
      </c>
      <c r="E57" s="110">
        <f t="shared" si="103"/>
        <v>17088034.950001746</v>
      </c>
      <c r="F57" s="113">
        <f t="shared" si="103"/>
        <v>20639675.740002036</v>
      </c>
      <c r="G57" s="112">
        <f t="shared" si="103"/>
        <v>5539174.3799999692</v>
      </c>
      <c r="H57" s="110">
        <f t="shared" si="103"/>
        <v>11329134.95000029</v>
      </c>
      <c r="I57" s="110">
        <f t="shared" si="103"/>
        <v>17086958.06000001</v>
      </c>
      <c r="J57" s="113">
        <f t="shared" si="103"/>
        <v>15709685.91999824</v>
      </c>
      <c r="K57" s="112">
        <f t="shared" si="103"/>
        <v>5088282</v>
      </c>
      <c r="L57" s="110">
        <f t="shared" si="103"/>
        <v>7181333</v>
      </c>
      <c r="M57" s="110">
        <f t="shared" si="103"/>
        <v>14133118</v>
      </c>
      <c r="N57" s="113">
        <f t="shared" si="103"/>
        <v>20093485.75</v>
      </c>
      <c r="O57" s="112">
        <f t="shared" si="103"/>
        <v>3351898.4599999934</v>
      </c>
      <c r="P57" s="110">
        <f t="shared" si="103"/>
        <v>7503283</v>
      </c>
      <c r="Q57" s="110">
        <f t="shared" si="103"/>
        <v>14142508</v>
      </c>
      <c r="R57" s="113">
        <f t="shared" si="103"/>
        <v>23739724.549999952</v>
      </c>
      <c r="S57" s="112">
        <f t="shared" si="103"/>
        <v>4096995.2600000128</v>
      </c>
      <c r="T57" s="110">
        <f t="shared" si="103"/>
        <v>18042845.659999993</v>
      </c>
      <c r="U57" s="110">
        <f t="shared" si="103"/>
        <v>27693692.409999978</v>
      </c>
      <c r="V57" s="113">
        <f t="shared" si="103"/>
        <v>35078251.260000035</v>
      </c>
      <c r="W57" s="112">
        <f t="shared" si="103"/>
        <v>5822396.3500000034</v>
      </c>
      <c r="X57" s="110">
        <f t="shared" si="103"/>
        <v>8983132.4799999036</v>
      </c>
      <c r="Y57" s="110">
        <f t="shared" si="103"/>
        <v>16972891.639999986</v>
      </c>
      <c r="AA57" s="121" t="s">
        <v>169</v>
      </c>
      <c r="AB57" s="160">
        <f t="shared" ref="AB57:AC57" si="104">AB46+AB56</f>
        <v>35078251.490000039</v>
      </c>
      <c r="AC57" s="113">
        <f t="shared" si="104"/>
        <v>22521537.430000015</v>
      </c>
      <c r="AD57" s="113">
        <f t="shared" ref="AD57:AE57" si="105">AD46+AD56</f>
        <v>-528868.88999999873</v>
      </c>
      <c r="AE57" s="113">
        <f t="shared" si="105"/>
        <v>-6363555.7399999872</v>
      </c>
      <c r="AF57" s="113">
        <f t="shared" ref="AF57:AG57" si="106">AF46+AF56</f>
        <v>-4308807.2099999525</v>
      </c>
      <c r="AG57" s="113">
        <f t="shared" si="106"/>
        <v>-349283.63000001758</v>
      </c>
      <c r="AH57" s="113">
        <f t="shared" ref="AH57:AI57" si="107">AH46+AH56</f>
        <v>-2538232.7500000037</v>
      </c>
      <c r="AI57" s="113">
        <f t="shared" si="107"/>
        <v>8759033.2100000158</v>
      </c>
      <c r="AJ57" s="113">
        <f t="shared" ref="AJ57:AK57" si="108">AJ46+AJ56</f>
        <v>19424404.559999809</v>
      </c>
      <c r="AK57" s="113">
        <f t="shared" si="108"/>
        <v>24660407.00999397</v>
      </c>
      <c r="AL57" s="113">
        <f t="shared" ref="AL57:AM57" si="109">AL46+AL56</f>
        <v>7436574.0399999861</v>
      </c>
      <c r="AM57" s="113">
        <f t="shared" si="109"/>
        <v>18332667.069996901</v>
      </c>
      <c r="AN57" s="113">
        <f t="shared" ref="AN57" si="110">AN46+AN56</f>
        <v>36632549.390000038</v>
      </c>
    </row>
    <row r="58" spans="2:40" s="75" customFormat="1" ht="15" thickBot="1" x14ac:dyDescent="0.4">
      <c r="B58" s="121" t="s">
        <v>170</v>
      </c>
      <c r="C58" s="114">
        <f>C46-C42+C45+C56</f>
        <v>3233479.2099997988</v>
      </c>
      <c r="D58" s="115">
        <f t="shared" ref="D58:Y58" si="111">D46-D42+D45+D56</f>
        <v>8926788.2300000023</v>
      </c>
      <c r="E58" s="115">
        <f t="shared" si="111"/>
        <v>16816948.160001747</v>
      </c>
      <c r="F58" s="116">
        <f t="shared" si="111"/>
        <v>20407629.380002037</v>
      </c>
      <c r="G58" s="114">
        <f t="shared" si="111"/>
        <v>5438958.4599999692</v>
      </c>
      <c r="H58" s="115">
        <f t="shared" si="111"/>
        <v>11035062.20000029</v>
      </c>
      <c r="I58" s="115">
        <f t="shared" si="111"/>
        <v>17120146.06000001</v>
      </c>
      <c r="J58" s="116">
        <f t="shared" si="111"/>
        <v>15219275.629998241</v>
      </c>
      <c r="K58" s="114">
        <f t="shared" si="111"/>
        <v>5052049</v>
      </c>
      <c r="L58" s="115">
        <f t="shared" si="111"/>
        <v>7134268</v>
      </c>
      <c r="M58" s="115">
        <f t="shared" si="111"/>
        <v>14006913</v>
      </c>
      <c r="N58" s="116">
        <f t="shared" si="111"/>
        <v>19626655.75</v>
      </c>
      <c r="O58" s="114">
        <f t="shared" si="111"/>
        <v>3588898.4599999934</v>
      </c>
      <c r="P58" s="115">
        <f t="shared" si="111"/>
        <v>7238283</v>
      </c>
      <c r="Q58" s="115">
        <f t="shared" si="111"/>
        <v>13336508</v>
      </c>
      <c r="R58" s="116">
        <f t="shared" si="111"/>
        <v>22714095.549999952</v>
      </c>
      <c r="S58" s="114">
        <f t="shared" si="111"/>
        <v>3763543.2600000128</v>
      </c>
      <c r="T58" s="115">
        <f t="shared" si="111"/>
        <v>17271831.119999994</v>
      </c>
      <c r="U58" s="115">
        <f t="shared" si="111"/>
        <v>25688973.799999978</v>
      </c>
      <c r="V58" s="116">
        <f t="shared" si="111"/>
        <v>32288070.600000035</v>
      </c>
      <c r="W58" s="114">
        <f t="shared" si="111"/>
        <v>5316573.450000003</v>
      </c>
      <c r="X58" s="115">
        <f t="shared" si="111"/>
        <v>7027301.2499999031</v>
      </c>
      <c r="Y58" s="115">
        <f t="shared" si="111"/>
        <v>14608764.639999986</v>
      </c>
      <c r="AA58" s="121" t="s">
        <v>170</v>
      </c>
      <c r="AB58" s="163">
        <f t="shared" ref="AB58:AC58" si="112">AB46-AB42+AB45+AB56</f>
        <v>32288070.830000039</v>
      </c>
      <c r="AC58" s="116">
        <f t="shared" si="112"/>
        <v>17606007.20000001</v>
      </c>
      <c r="AD58" s="116">
        <f t="shared" ref="AD58:AE58" si="113">AD46-AD42+AD45+AD56</f>
        <v>-1885469.8899999987</v>
      </c>
      <c r="AE58" s="116">
        <f t="shared" si="113"/>
        <v>-8079872.7399999872</v>
      </c>
      <c r="AF58" s="116">
        <f t="shared" ref="AF58:AG58" si="114">AF46-AF42+AF45+AF56</f>
        <v>-7360728.2099999525</v>
      </c>
      <c r="AG58" s="116">
        <f t="shared" si="114"/>
        <v>-5626921.6300000176</v>
      </c>
      <c r="AH58" s="116">
        <f t="shared" ref="AH58:AI58" si="115">AH46-AH42+AH45+AH56</f>
        <v>-3502747.7500000037</v>
      </c>
      <c r="AI58" s="116">
        <f t="shared" si="115"/>
        <v>5201829.4700000146</v>
      </c>
      <c r="AJ58" s="116">
        <f t="shared" ref="AJ58:AK58" si="116">AJ46-AJ42+AJ45+AJ56</f>
        <v>11324989.579999806</v>
      </c>
      <c r="AK58" s="116">
        <f t="shared" si="116"/>
        <v>15962645.509993969</v>
      </c>
      <c r="AL58" s="116">
        <f t="shared" ref="AL58:AM58" si="117">AL46-AL42+AL45+AL56</f>
        <v>7138284.5899999859</v>
      </c>
      <c r="AM58" s="116">
        <f t="shared" si="117"/>
        <v>18268676.619996902</v>
      </c>
      <c r="AN58" s="116">
        <f t="shared" ref="AN58" si="118">AN46-AN42+AN45+AN56</f>
        <v>35978422.910000041</v>
      </c>
    </row>
    <row r="59" spans="2:40" x14ac:dyDescent="0.35">
      <c r="B59" s="278" t="s">
        <v>171</v>
      </c>
      <c r="C59" s="278"/>
      <c r="D59" s="278"/>
      <c r="E59" s="278"/>
      <c r="F59" s="278"/>
      <c r="G59" s="278"/>
      <c r="AA59" s="156" t="s">
        <v>171</v>
      </c>
      <c r="AB59" s="156"/>
      <c r="AC59" s="156"/>
    </row>
    <row r="60" spans="2:40" ht="20" x14ac:dyDescent="0.35">
      <c r="B60" s="278" t="s">
        <v>172</v>
      </c>
      <c r="C60" s="278"/>
      <c r="D60" s="278"/>
      <c r="E60" s="278"/>
      <c r="F60" s="278"/>
      <c r="G60" s="278"/>
      <c r="AA60" s="156" t="s">
        <v>172</v>
      </c>
      <c r="AB60" s="156"/>
      <c r="AC60" s="156"/>
    </row>
  </sheetData>
  <mergeCells count="14">
    <mergeCell ref="B59:G59"/>
    <mergeCell ref="B60:G60"/>
    <mergeCell ref="W3:Y3"/>
    <mergeCell ref="C36:F36"/>
    <mergeCell ref="G36:J36"/>
    <mergeCell ref="K36:N36"/>
    <mergeCell ref="O36:R36"/>
    <mergeCell ref="S36:V36"/>
    <mergeCell ref="W36:Y36"/>
    <mergeCell ref="C3:F3"/>
    <mergeCell ref="G3:J3"/>
    <mergeCell ref="K3:N3"/>
    <mergeCell ref="O3:R3"/>
    <mergeCell ref="S3:V3"/>
  </mergeCells>
  <phoneticPr fontId="28" type="noConversion"/>
  <pageMargins left="0.19685039370078741" right="0.19685039370078741" top="0.59055118110236227" bottom="0.59055118110236227" header="0" footer="0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N44"/>
  <sheetViews>
    <sheetView topLeftCell="Z1" zoomScale="80" zoomScaleNormal="80" workbookViewId="0">
      <selection activeCell="AN7" sqref="AN7"/>
    </sheetView>
  </sheetViews>
  <sheetFormatPr defaultColWidth="9.1796875" defaultRowHeight="14.5" x14ac:dyDescent="0.35"/>
  <cols>
    <col min="1" max="1" width="1.81640625" style="14" customWidth="1"/>
    <col min="2" max="2" width="54.1796875" style="14" customWidth="1"/>
    <col min="3" max="26" width="9.1796875" style="14"/>
    <col min="27" max="27" width="60" style="201" customWidth="1"/>
    <col min="28" max="16384" width="9.1796875" style="14"/>
  </cols>
  <sheetData>
    <row r="1" spans="2:40" ht="21" x14ac:dyDescent="0.5">
      <c r="B1" s="97" t="s">
        <v>23</v>
      </c>
    </row>
    <row r="2" spans="2:40" ht="15" thickBot="1" x14ac:dyDescent="0.4">
      <c r="B2" s="75" t="s">
        <v>160</v>
      </c>
    </row>
    <row r="3" spans="2:40" x14ac:dyDescent="0.35">
      <c r="C3" s="281">
        <v>2016</v>
      </c>
      <c r="D3" s="282"/>
      <c r="E3" s="282"/>
      <c r="F3" s="283"/>
      <c r="G3" s="281">
        <v>2017</v>
      </c>
      <c r="H3" s="282"/>
      <c r="I3" s="282"/>
      <c r="J3" s="283"/>
      <c r="K3" s="281">
        <v>2018</v>
      </c>
      <c r="L3" s="282"/>
      <c r="M3" s="282"/>
      <c r="N3" s="283"/>
      <c r="O3" s="279">
        <v>2019</v>
      </c>
      <c r="P3" s="280"/>
      <c r="Q3" s="280"/>
      <c r="R3" s="284"/>
      <c r="S3" s="279">
        <v>2020</v>
      </c>
      <c r="T3" s="280"/>
      <c r="U3" s="280"/>
      <c r="V3" s="284"/>
      <c r="W3" s="279">
        <v>2021</v>
      </c>
      <c r="X3" s="280"/>
      <c r="Y3" s="280"/>
      <c r="AB3" s="184">
        <v>2020</v>
      </c>
      <c r="AC3" s="184" t="s">
        <v>180</v>
      </c>
      <c r="AD3" s="184">
        <v>2022</v>
      </c>
      <c r="AE3" s="184">
        <v>2022</v>
      </c>
      <c r="AF3" s="184">
        <v>2022</v>
      </c>
      <c r="AG3" s="184">
        <v>2022</v>
      </c>
      <c r="AH3" s="184">
        <v>2023</v>
      </c>
      <c r="AI3" s="184">
        <v>2023</v>
      </c>
      <c r="AJ3" s="184">
        <v>2023</v>
      </c>
      <c r="AK3" s="184">
        <v>2023</v>
      </c>
      <c r="AL3" s="184">
        <v>2024</v>
      </c>
      <c r="AM3" s="184">
        <v>2024</v>
      </c>
      <c r="AN3" s="184">
        <v>2024</v>
      </c>
    </row>
    <row r="4" spans="2:40" x14ac:dyDescent="0.35">
      <c r="B4" s="14" t="s">
        <v>158</v>
      </c>
      <c r="C4" s="54" t="s">
        <v>115</v>
      </c>
      <c r="D4" s="55" t="s">
        <v>116</v>
      </c>
      <c r="E4" s="55" t="s">
        <v>117</v>
      </c>
      <c r="F4" s="56" t="s">
        <v>118</v>
      </c>
      <c r="G4" s="54" t="s">
        <v>115</v>
      </c>
      <c r="H4" s="55" t="s">
        <v>116</v>
      </c>
      <c r="I4" s="55" t="s">
        <v>117</v>
      </c>
      <c r="J4" s="56" t="s">
        <v>118</v>
      </c>
      <c r="K4" s="54" t="s">
        <v>115</v>
      </c>
      <c r="L4" s="55" t="s">
        <v>116</v>
      </c>
      <c r="M4" s="55" t="s">
        <v>117</v>
      </c>
      <c r="N4" s="56" t="s">
        <v>118</v>
      </c>
      <c r="O4" s="57" t="s">
        <v>115</v>
      </c>
      <c r="P4" s="58" t="s">
        <v>116</v>
      </c>
      <c r="Q4" s="58" t="s">
        <v>117</v>
      </c>
      <c r="R4" s="59" t="s">
        <v>118</v>
      </c>
      <c r="S4" s="57" t="s">
        <v>115</v>
      </c>
      <c r="T4" s="58" t="s">
        <v>116</v>
      </c>
      <c r="U4" s="58" t="s">
        <v>117</v>
      </c>
      <c r="V4" s="59" t="s">
        <v>118</v>
      </c>
      <c r="W4" s="57" t="s">
        <v>115</v>
      </c>
      <c r="X4" s="58" t="s">
        <v>116</v>
      </c>
      <c r="Y4" s="58" t="s">
        <v>117</v>
      </c>
      <c r="AA4" s="201" t="s">
        <v>158</v>
      </c>
      <c r="AB4" s="185" t="s">
        <v>118</v>
      </c>
      <c r="AC4" s="185" t="s">
        <v>118</v>
      </c>
      <c r="AD4" s="185" t="s">
        <v>115</v>
      </c>
      <c r="AE4" s="185" t="s">
        <v>116</v>
      </c>
      <c r="AF4" s="185" t="s">
        <v>117</v>
      </c>
      <c r="AG4" s="185" t="s">
        <v>118</v>
      </c>
      <c r="AH4" s="185" t="s">
        <v>115</v>
      </c>
      <c r="AI4" s="185" t="s">
        <v>116</v>
      </c>
      <c r="AJ4" s="185" t="s">
        <v>117</v>
      </c>
      <c r="AK4" s="185" t="s">
        <v>118</v>
      </c>
      <c r="AL4" s="185" t="s">
        <v>115</v>
      </c>
      <c r="AM4" s="185" t="s">
        <v>116</v>
      </c>
      <c r="AN4" s="185" t="s">
        <v>117</v>
      </c>
    </row>
    <row r="5" spans="2:40" ht="35.25" customHeight="1" x14ac:dyDescent="0.35">
      <c r="B5" s="76" t="s">
        <v>177</v>
      </c>
      <c r="C5" s="22" t="s">
        <v>129</v>
      </c>
      <c r="D5" s="15" t="s">
        <v>139</v>
      </c>
      <c r="E5" s="15" t="s">
        <v>148</v>
      </c>
      <c r="F5" s="23" t="s">
        <v>128</v>
      </c>
      <c r="G5" s="50" t="s">
        <v>126</v>
      </c>
      <c r="H5" s="15" t="s">
        <v>137</v>
      </c>
      <c r="I5" s="15" t="s">
        <v>147</v>
      </c>
      <c r="J5" s="51" t="s">
        <v>125</v>
      </c>
      <c r="K5" s="50" t="s">
        <v>124</v>
      </c>
      <c r="L5" s="15" t="s">
        <v>135</v>
      </c>
      <c r="M5" s="15" t="s">
        <v>145</v>
      </c>
      <c r="N5" s="51" t="s">
        <v>123</v>
      </c>
      <c r="O5" s="60" t="s">
        <v>121</v>
      </c>
      <c r="P5" s="61" t="s">
        <v>133</v>
      </c>
      <c r="Q5" s="62" t="s">
        <v>154</v>
      </c>
      <c r="R5" s="63" t="s">
        <v>120</v>
      </c>
      <c r="S5" s="60" t="s">
        <v>114</v>
      </c>
      <c r="T5" s="61" t="s">
        <v>132</v>
      </c>
      <c r="U5" s="61" t="s">
        <v>142</v>
      </c>
      <c r="V5" s="63" t="s">
        <v>113</v>
      </c>
      <c r="W5" s="60" t="s">
        <v>112</v>
      </c>
      <c r="X5" s="61" t="s">
        <v>162</v>
      </c>
      <c r="Y5" s="61" t="s">
        <v>163</v>
      </c>
      <c r="AA5" s="76" t="s">
        <v>177</v>
      </c>
      <c r="AB5" s="186" t="s">
        <v>113</v>
      </c>
      <c r="AC5" s="187" t="s">
        <v>164</v>
      </c>
      <c r="AD5" s="187" t="s">
        <v>195</v>
      </c>
      <c r="AE5" s="187" t="s">
        <v>199</v>
      </c>
      <c r="AF5" s="187" t="s">
        <v>200</v>
      </c>
      <c r="AG5" s="187" t="s">
        <v>205</v>
      </c>
      <c r="AH5" s="187" t="s">
        <v>206</v>
      </c>
      <c r="AI5" s="187" t="s">
        <v>208</v>
      </c>
      <c r="AJ5" s="187" t="s">
        <v>210</v>
      </c>
      <c r="AK5" s="187" t="s">
        <v>212</v>
      </c>
      <c r="AL5" s="187" t="s">
        <v>216</v>
      </c>
      <c r="AM5" s="187" t="s">
        <v>219</v>
      </c>
      <c r="AN5" s="187" t="s">
        <v>222</v>
      </c>
    </row>
    <row r="6" spans="2:40" ht="13.5" customHeight="1" x14ac:dyDescent="0.35">
      <c r="B6" s="8" t="s">
        <v>24</v>
      </c>
      <c r="C6" s="24">
        <f t="shared" ref="C6:V6" si="0">SUM(C7:C14)</f>
        <v>161281089.90000176</v>
      </c>
      <c r="D6" s="2">
        <f t="shared" si="0"/>
        <v>162134836.08000174</v>
      </c>
      <c r="E6" s="2">
        <f t="shared" si="0"/>
        <v>167628936.05000177</v>
      </c>
      <c r="F6" s="25">
        <f t="shared" si="0"/>
        <v>171761647.36000189</v>
      </c>
      <c r="G6" s="24">
        <f t="shared" si="0"/>
        <v>169952814.78000268</v>
      </c>
      <c r="H6" s="2">
        <f t="shared" si="0"/>
        <v>169444270.63000268</v>
      </c>
      <c r="I6" s="2">
        <f t="shared" si="0"/>
        <v>171728483.43000001</v>
      </c>
      <c r="J6" s="25">
        <f t="shared" si="0"/>
        <v>173599719.61000308</v>
      </c>
      <c r="K6" s="24">
        <f t="shared" si="0"/>
        <v>172080555.31</v>
      </c>
      <c r="L6" s="2">
        <f t="shared" si="0"/>
        <v>171504965</v>
      </c>
      <c r="M6" s="2">
        <f t="shared" si="0"/>
        <v>172056139</v>
      </c>
      <c r="N6" s="25">
        <f t="shared" si="0"/>
        <v>183627132</v>
      </c>
      <c r="O6" s="64">
        <f t="shared" si="0"/>
        <v>419904601</v>
      </c>
      <c r="P6" s="65">
        <f t="shared" si="0"/>
        <v>419616941.91000003</v>
      </c>
      <c r="Q6" s="65">
        <f t="shared" si="0"/>
        <v>408443292</v>
      </c>
      <c r="R6" s="66">
        <f t="shared" si="0"/>
        <v>416085470</v>
      </c>
      <c r="S6" s="64">
        <f t="shared" si="0"/>
        <v>405112966</v>
      </c>
      <c r="T6" s="65">
        <f t="shared" si="0"/>
        <v>396559133</v>
      </c>
      <c r="U6" s="65">
        <f t="shared" si="0"/>
        <v>389083484</v>
      </c>
      <c r="V6" s="66">
        <f t="shared" si="0"/>
        <v>386987849</v>
      </c>
      <c r="W6" s="64">
        <f>SUM(W7:W14)</f>
        <v>377802378</v>
      </c>
      <c r="X6" s="65">
        <f t="shared" ref="X6:Y6" si="1">SUM(X7:X14)</f>
        <v>377422492</v>
      </c>
      <c r="Y6" s="65">
        <f t="shared" si="1"/>
        <v>377459865</v>
      </c>
      <c r="AA6" s="8" t="s">
        <v>24</v>
      </c>
      <c r="AB6" s="188">
        <f t="shared" ref="AB6:AI6" si="2">SUM(AB7:AB14)</f>
        <v>386987849</v>
      </c>
      <c r="AC6" s="188">
        <f t="shared" si="2"/>
        <v>377041142</v>
      </c>
      <c r="AD6" s="188">
        <f t="shared" si="2"/>
        <v>397183970</v>
      </c>
      <c r="AE6" s="188">
        <f t="shared" si="2"/>
        <v>398334555</v>
      </c>
      <c r="AF6" s="188">
        <f t="shared" si="2"/>
        <v>410595558</v>
      </c>
      <c r="AG6" s="188">
        <f t="shared" si="2"/>
        <v>413241579.71187663</v>
      </c>
      <c r="AH6" s="188">
        <f t="shared" si="2"/>
        <v>453525858.51999998</v>
      </c>
      <c r="AI6" s="188">
        <f t="shared" si="2"/>
        <v>458212308.63999999</v>
      </c>
      <c r="AJ6" s="188">
        <f t="shared" ref="AJ6:AK6" si="3">SUM(AJ7:AJ14)</f>
        <v>447294970.08003199</v>
      </c>
      <c r="AK6" s="188">
        <f t="shared" si="3"/>
        <v>442255271.97003204</v>
      </c>
      <c r="AL6" s="188">
        <f t="shared" ref="AL6:AM6" si="4">SUM(AL7:AL14)</f>
        <v>460275487</v>
      </c>
      <c r="AM6" s="188">
        <f t="shared" si="4"/>
        <v>478075385.74004799</v>
      </c>
      <c r="AN6" s="188">
        <f t="shared" ref="AN6" si="5">SUM(AN7:AN14)</f>
        <v>453606587</v>
      </c>
    </row>
    <row r="7" spans="2:40" ht="13.5" customHeight="1" x14ac:dyDescent="0.35">
      <c r="B7" s="19" t="s">
        <v>25</v>
      </c>
      <c r="C7" s="32">
        <v>104899670.37000176</v>
      </c>
      <c r="D7" s="5">
        <v>105572572.77000174</v>
      </c>
      <c r="E7" s="5">
        <v>111132345.40000178</v>
      </c>
      <c r="F7" s="33">
        <v>114664794.81000188</v>
      </c>
      <c r="G7" s="32">
        <v>113234618.54000258</v>
      </c>
      <c r="H7" s="5">
        <v>111964039.18000259</v>
      </c>
      <c r="I7" s="5">
        <v>111764093.18000001</v>
      </c>
      <c r="J7" s="33">
        <v>113727279.600003</v>
      </c>
      <c r="K7" s="32">
        <v>111907763.52</v>
      </c>
      <c r="L7" s="5">
        <v>110728590</v>
      </c>
      <c r="M7" s="5">
        <v>112283926</v>
      </c>
      <c r="N7" s="33">
        <v>123438258</v>
      </c>
      <c r="O7" s="67">
        <v>124051078</v>
      </c>
      <c r="P7" s="68">
        <v>124242915</v>
      </c>
      <c r="Q7" s="68">
        <v>122921217</v>
      </c>
      <c r="R7" s="69">
        <v>122470151</v>
      </c>
      <c r="S7" s="67">
        <v>120526005</v>
      </c>
      <c r="T7" s="68">
        <v>115934785</v>
      </c>
      <c r="U7" s="70">
        <v>113192061</v>
      </c>
      <c r="V7" s="69">
        <v>112707357</v>
      </c>
      <c r="W7" s="67">
        <v>111126497</v>
      </c>
      <c r="X7" s="68">
        <v>113357263</v>
      </c>
      <c r="Y7" s="68">
        <v>120305009</v>
      </c>
      <c r="AA7" s="19" t="s">
        <v>25</v>
      </c>
      <c r="AB7" s="189">
        <v>112707357</v>
      </c>
      <c r="AC7" s="189">
        <v>121914610.16999999</v>
      </c>
      <c r="AD7" s="189">
        <v>126519616.65000001</v>
      </c>
      <c r="AE7" s="189">
        <v>132745168</v>
      </c>
      <c r="AF7" s="189">
        <v>136662217</v>
      </c>
      <c r="AG7" s="189">
        <v>142540231</v>
      </c>
      <c r="AH7" s="189">
        <v>146298138</v>
      </c>
      <c r="AI7" s="189">
        <v>147291639</v>
      </c>
      <c r="AJ7" s="189">
        <v>140919547.31003186</v>
      </c>
      <c r="AK7" s="189">
        <v>145091173.5700317</v>
      </c>
      <c r="AL7" s="189">
        <v>155298134.82999998</v>
      </c>
      <c r="AM7" s="189">
        <v>154169241.17004648</v>
      </c>
      <c r="AN7" s="189">
        <v>158604810</v>
      </c>
    </row>
    <row r="8" spans="2:40" ht="13.5" customHeight="1" x14ac:dyDescent="0.35">
      <c r="B8" s="46" t="s">
        <v>167</v>
      </c>
      <c r="C8" s="26"/>
      <c r="D8" s="3"/>
      <c r="E8" s="3"/>
      <c r="F8" s="29"/>
      <c r="G8" s="26"/>
      <c r="H8" s="3"/>
      <c r="I8" s="3"/>
      <c r="J8" s="29"/>
      <c r="K8" s="32"/>
      <c r="L8" s="3"/>
      <c r="M8" s="3"/>
      <c r="N8" s="33"/>
      <c r="O8" s="67">
        <v>235747583</v>
      </c>
      <c r="P8" s="71">
        <v>236034907</v>
      </c>
      <c r="Q8" s="68">
        <v>227269566</v>
      </c>
      <c r="R8" s="69">
        <v>234527404</v>
      </c>
      <c r="S8" s="67">
        <v>225393805</v>
      </c>
      <c r="T8" s="71">
        <v>221544759</v>
      </c>
      <c r="U8" s="70">
        <v>216879553</v>
      </c>
      <c r="V8" s="69">
        <v>219964315</v>
      </c>
      <c r="W8" s="67">
        <v>211987827</v>
      </c>
      <c r="X8" s="68">
        <v>209011257</v>
      </c>
      <c r="Y8" s="68">
        <v>201461195</v>
      </c>
      <c r="AA8" s="46" t="s">
        <v>181</v>
      </c>
      <c r="AB8" s="189">
        <v>219964315</v>
      </c>
      <c r="AC8" s="189">
        <v>193283024.83000001</v>
      </c>
      <c r="AD8" s="189">
        <v>207317063</v>
      </c>
      <c r="AE8" s="189">
        <v>201132557</v>
      </c>
      <c r="AF8" s="189">
        <v>204581606</v>
      </c>
      <c r="AG8" s="189">
        <v>199586492.99937662</v>
      </c>
      <c r="AH8" s="189">
        <v>234326630.52000001</v>
      </c>
      <c r="AI8" s="189">
        <v>238271013</v>
      </c>
      <c r="AJ8" s="189">
        <v>230479698.26000014</v>
      </c>
      <c r="AK8" s="189">
        <v>224095204.16000012</v>
      </c>
      <c r="AL8" s="189">
        <v>232420039</v>
      </c>
      <c r="AM8" s="189">
        <v>252327711.33000129</v>
      </c>
      <c r="AN8" s="189">
        <v>262087336</v>
      </c>
    </row>
    <row r="9" spans="2:40" ht="13.5" customHeight="1" x14ac:dyDescent="0.35">
      <c r="B9" s="19" t="s">
        <v>26</v>
      </c>
      <c r="C9" s="26">
        <v>3767126.6200000066</v>
      </c>
      <c r="D9" s="3">
        <v>3862660.3900000062</v>
      </c>
      <c r="E9" s="3">
        <v>3877197.7400000058</v>
      </c>
      <c r="F9" s="29">
        <v>3995156.3100000042</v>
      </c>
      <c r="G9" s="26">
        <v>4116804.0000000894</v>
      </c>
      <c r="H9" s="3">
        <v>4417186.0100000873</v>
      </c>
      <c r="I9" s="3">
        <v>4949739.82</v>
      </c>
      <c r="J9" s="29">
        <v>4868621.6700000875</v>
      </c>
      <c r="K9" s="26">
        <v>4986092.4799999986</v>
      </c>
      <c r="L9" s="3">
        <v>5260220</v>
      </c>
      <c r="M9" s="3">
        <v>6421835</v>
      </c>
      <c r="N9" s="29">
        <v>7185559</v>
      </c>
      <c r="O9" s="72">
        <v>7407612</v>
      </c>
      <c r="P9" s="71">
        <v>7218741</v>
      </c>
      <c r="Q9" s="71">
        <v>7040572</v>
      </c>
      <c r="R9" s="73">
        <v>7711394</v>
      </c>
      <c r="S9" s="72">
        <v>7815536</v>
      </c>
      <c r="T9" s="71">
        <v>7689429</v>
      </c>
      <c r="U9" s="70">
        <v>7670417</v>
      </c>
      <c r="V9" s="73">
        <v>7948201</v>
      </c>
      <c r="W9" s="72">
        <v>8292748</v>
      </c>
      <c r="X9" s="71">
        <v>8686448</v>
      </c>
      <c r="Y9" s="71">
        <v>9294137</v>
      </c>
      <c r="AA9" s="19" t="s">
        <v>26</v>
      </c>
      <c r="AB9" s="190">
        <f>7948201-AB10</f>
        <v>7181878</v>
      </c>
      <c r="AC9" s="190">
        <v>14115446</v>
      </c>
      <c r="AD9" s="190">
        <v>14654689.35</v>
      </c>
      <c r="AE9" s="190">
        <v>15511715</v>
      </c>
      <c r="AF9" s="190">
        <v>16294614</v>
      </c>
      <c r="AG9" s="190">
        <v>17378582</v>
      </c>
      <c r="AH9" s="190">
        <v>17354916</v>
      </c>
      <c r="AI9" s="190">
        <v>17893355</v>
      </c>
      <c r="AJ9" s="190">
        <v>18118073</v>
      </c>
      <c r="AK9" s="190">
        <v>18193691.370000206</v>
      </c>
      <c r="AL9" s="190">
        <v>18275560.170000002</v>
      </c>
      <c r="AM9" s="189">
        <v>18363811.240000207</v>
      </c>
      <c r="AN9" s="189">
        <v>18695543</v>
      </c>
    </row>
    <row r="10" spans="2:40" ht="13.5" customHeight="1" x14ac:dyDescent="0.35">
      <c r="B10" s="19" t="s">
        <v>27</v>
      </c>
      <c r="C10" s="26">
        <v>51940000</v>
      </c>
      <c r="D10" s="3">
        <v>51940000</v>
      </c>
      <c r="E10" s="3">
        <v>51940000</v>
      </c>
      <c r="F10" s="29">
        <v>51940000</v>
      </c>
      <c r="G10" s="26">
        <v>51940000</v>
      </c>
      <c r="H10" s="3">
        <v>51940000</v>
      </c>
      <c r="I10" s="3">
        <v>53900200</v>
      </c>
      <c r="J10" s="29">
        <v>53900200</v>
      </c>
      <c r="K10" s="26">
        <v>53910085</v>
      </c>
      <c r="L10" s="3">
        <v>54159085</v>
      </c>
      <c r="M10" s="3">
        <v>51940000</v>
      </c>
      <c r="N10" s="29">
        <v>51940000</v>
      </c>
      <c r="O10" s="72">
        <v>51940000</v>
      </c>
      <c r="P10" s="71">
        <v>51940000</v>
      </c>
      <c r="Q10" s="71">
        <v>51000000</v>
      </c>
      <c r="R10" s="73">
        <v>51000000</v>
      </c>
      <c r="S10" s="72">
        <v>51000000</v>
      </c>
      <c r="T10" s="71">
        <v>51000000</v>
      </c>
      <c r="U10" s="70">
        <v>51000000</v>
      </c>
      <c r="V10" s="73">
        <v>46000000</v>
      </c>
      <c r="W10" s="72">
        <v>46000000</v>
      </c>
      <c r="X10" s="71">
        <v>46000000</v>
      </c>
      <c r="Y10" s="71">
        <v>46000000</v>
      </c>
      <c r="AA10" s="19" t="s">
        <v>182</v>
      </c>
      <c r="AB10" s="190">
        <v>766323</v>
      </c>
      <c r="AC10" s="190">
        <v>766323</v>
      </c>
      <c r="AD10" s="190">
        <v>766323</v>
      </c>
      <c r="AE10" s="190"/>
      <c r="AF10" s="190"/>
      <c r="AG10" s="190"/>
      <c r="AH10" s="190"/>
      <c r="AI10" s="190"/>
      <c r="AJ10" s="190">
        <v>3103920</v>
      </c>
      <c r="AK10" s="190">
        <v>3023219</v>
      </c>
      <c r="AL10" s="190">
        <v>3023219</v>
      </c>
      <c r="AM10" s="189">
        <v>3023219</v>
      </c>
      <c r="AN10" s="189">
        <v>3023219</v>
      </c>
    </row>
    <row r="11" spans="2:40" ht="13.5" customHeight="1" x14ac:dyDescent="0.35">
      <c r="B11" s="19" t="s">
        <v>28</v>
      </c>
      <c r="C11" s="26">
        <v>0</v>
      </c>
      <c r="D11" s="5"/>
      <c r="E11" s="3"/>
      <c r="F11" s="33"/>
      <c r="G11" s="32"/>
      <c r="H11" s="5"/>
      <c r="I11" s="3"/>
      <c r="J11" s="29"/>
      <c r="K11" s="32"/>
      <c r="L11" s="5"/>
      <c r="M11" s="3"/>
      <c r="N11" s="33"/>
      <c r="O11" s="67"/>
      <c r="P11" s="68"/>
      <c r="Q11" s="71"/>
      <c r="R11" s="69"/>
      <c r="S11" s="67"/>
      <c r="T11" s="68"/>
      <c r="U11" s="74"/>
      <c r="V11" s="69"/>
      <c r="W11" s="67"/>
      <c r="X11" s="68"/>
      <c r="Y11" s="68"/>
      <c r="AA11" s="19" t="s">
        <v>27</v>
      </c>
      <c r="AB11" s="190">
        <v>46000000</v>
      </c>
      <c r="AC11" s="190">
        <v>46000000</v>
      </c>
      <c r="AD11" s="190">
        <v>46000000</v>
      </c>
      <c r="AE11" s="190">
        <v>46000000</v>
      </c>
      <c r="AF11" s="190">
        <v>48528223</v>
      </c>
      <c r="AG11" s="190">
        <v>48528223</v>
      </c>
      <c r="AH11" s="190">
        <v>49453223</v>
      </c>
      <c r="AI11" s="190">
        <v>49453223</v>
      </c>
      <c r="AJ11" s="190">
        <v>46000000</v>
      </c>
      <c r="AK11" s="190">
        <v>46000000</v>
      </c>
      <c r="AL11" s="190">
        <v>46000000</v>
      </c>
      <c r="AM11" s="189">
        <v>46000000</v>
      </c>
      <c r="AN11" s="189">
        <v>7166</v>
      </c>
    </row>
    <row r="12" spans="2:40" ht="13.5" customHeight="1" x14ac:dyDescent="0.35">
      <c r="B12" s="19"/>
      <c r="C12" s="26"/>
      <c r="D12" s="5"/>
      <c r="E12" s="3"/>
      <c r="F12" s="33"/>
      <c r="G12" s="32"/>
      <c r="H12" s="5"/>
      <c r="I12" s="3"/>
      <c r="J12" s="29"/>
      <c r="K12" s="32"/>
      <c r="L12" s="5"/>
      <c r="M12" s="3"/>
      <c r="N12" s="33"/>
      <c r="O12" s="67"/>
      <c r="P12" s="68"/>
      <c r="Q12" s="71"/>
      <c r="R12" s="69"/>
      <c r="S12" s="67"/>
      <c r="T12" s="68"/>
      <c r="U12" s="74"/>
      <c r="V12" s="69"/>
      <c r="W12" s="67"/>
      <c r="X12" s="68"/>
      <c r="Y12" s="68"/>
      <c r="AA12" s="19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89"/>
      <c r="AN12" s="189">
        <v>1006917</v>
      </c>
    </row>
    <row r="13" spans="2:40" ht="13.5" customHeight="1" x14ac:dyDescent="0.35">
      <c r="B13" s="19" t="s">
        <v>29</v>
      </c>
      <c r="C13" s="32">
        <v>0</v>
      </c>
      <c r="D13" s="3"/>
      <c r="E13" s="3"/>
      <c r="F13" s="29"/>
      <c r="G13" s="26"/>
      <c r="H13" s="3"/>
      <c r="I13" s="3"/>
      <c r="J13" s="29"/>
      <c r="K13" s="26"/>
      <c r="L13" s="3"/>
      <c r="M13" s="3"/>
      <c r="N13" s="29"/>
      <c r="O13" s="72"/>
      <c r="P13" s="71"/>
      <c r="Q13" s="71"/>
      <c r="R13" s="73"/>
      <c r="S13" s="72"/>
      <c r="T13" s="71"/>
      <c r="U13" s="70"/>
      <c r="V13" s="73"/>
      <c r="W13" s="72"/>
      <c r="X13" s="71"/>
      <c r="Y13" s="71"/>
      <c r="AA13" s="267" t="s">
        <v>29</v>
      </c>
      <c r="AB13" s="190"/>
      <c r="AC13" s="190"/>
      <c r="AD13" s="190"/>
      <c r="AE13" s="190">
        <v>1014254</v>
      </c>
      <c r="AF13" s="190">
        <v>2583066</v>
      </c>
      <c r="AG13" s="190">
        <v>3323934.7124999836</v>
      </c>
      <c r="AH13" s="190">
        <v>4168302</v>
      </c>
      <c r="AI13" s="190">
        <v>3414160</v>
      </c>
      <c r="AJ13" s="190">
        <v>4575147</v>
      </c>
      <c r="AK13" s="190">
        <v>2358045</v>
      </c>
      <c r="AL13" s="190">
        <v>1901903</v>
      </c>
      <c r="AM13" s="189">
        <v>784157</v>
      </c>
      <c r="AN13" s="189">
        <v>552085</v>
      </c>
    </row>
    <row r="14" spans="2:40" ht="13.5" customHeight="1" x14ac:dyDescent="0.35">
      <c r="B14" s="19" t="s">
        <v>30</v>
      </c>
      <c r="C14" s="26">
        <v>674292.91000000015</v>
      </c>
      <c r="D14" s="3">
        <v>759602.92</v>
      </c>
      <c r="E14" s="3">
        <v>679392.91000000015</v>
      </c>
      <c r="F14" s="29">
        <v>1161696.24</v>
      </c>
      <c r="G14" s="26">
        <v>661392.23999999976</v>
      </c>
      <c r="H14" s="3">
        <v>1123045.4399999997</v>
      </c>
      <c r="I14" s="3">
        <v>1114450.4299999997</v>
      </c>
      <c r="J14" s="29">
        <v>1103618.3399999996</v>
      </c>
      <c r="K14" s="26">
        <v>1276614.31</v>
      </c>
      <c r="L14" s="3">
        <v>1357070</v>
      </c>
      <c r="M14" s="3">
        <v>1410378</v>
      </c>
      <c r="N14" s="29">
        <v>1063315</v>
      </c>
      <c r="O14" s="72">
        <v>758328</v>
      </c>
      <c r="P14" s="71">
        <v>180378.91</v>
      </c>
      <c r="Q14" s="71">
        <v>211937</v>
      </c>
      <c r="R14" s="73">
        <v>376521</v>
      </c>
      <c r="S14" s="72">
        <v>377620</v>
      </c>
      <c r="T14" s="71">
        <v>390160</v>
      </c>
      <c r="U14" s="70">
        <v>341453</v>
      </c>
      <c r="V14" s="73">
        <v>367976</v>
      </c>
      <c r="W14" s="72">
        <v>395306</v>
      </c>
      <c r="X14" s="71">
        <v>367524</v>
      </c>
      <c r="Y14" s="71">
        <v>399524</v>
      </c>
      <c r="AA14" s="182" t="s">
        <v>183</v>
      </c>
      <c r="AB14" s="190">
        <v>367976</v>
      </c>
      <c r="AC14" s="190">
        <v>961738</v>
      </c>
      <c r="AD14" s="190">
        <v>1926278</v>
      </c>
      <c r="AE14" s="190">
        <v>1930861</v>
      </c>
      <c r="AF14" s="190">
        <v>1945832</v>
      </c>
      <c r="AG14" s="190">
        <v>1884116</v>
      </c>
      <c r="AH14" s="190">
        <v>1924649</v>
      </c>
      <c r="AI14" s="190">
        <v>1888918.64</v>
      </c>
      <c r="AJ14" s="190">
        <v>4098584.51</v>
      </c>
      <c r="AK14" s="190">
        <v>3493938.87</v>
      </c>
      <c r="AL14" s="190">
        <v>3356631</v>
      </c>
      <c r="AM14" s="189">
        <v>3407246</v>
      </c>
      <c r="AN14" s="189">
        <v>9629511</v>
      </c>
    </row>
    <row r="15" spans="2:40" ht="13.5" customHeight="1" x14ac:dyDescent="0.35">
      <c r="B15" s="47" t="s">
        <v>31</v>
      </c>
      <c r="C15" s="24">
        <f t="shared" ref="C15:V15" si="6">SUM(C16:C23)</f>
        <v>19426251.287640594</v>
      </c>
      <c r="D15" s="2">
        <f t="shared" si="6"/>
        <v>18431663.237640593</v>
      </c>
      <c r="E15" s="2">
        <f t="shared" si="6"/>
        <v>19935762.227640651</v>
      </c>
      <c r="F15" s="25">
        <f t="shared" si="6"/>
        <v>21516792.497639872</v>
      </c>
      <c r="G15" s="24">
        <f t="shared" si="6"/>
        <v>23532474.597650532</v>
      </c>
      <c r="H15" s="2">
        <f t="shared" si="6"/>
        <v>24149789.317649867</v>
      </c>
      <c r="I15" s="2">
        <f t="shared" si="6"/>
        <v>23708813.847649798</v>
      </c>
      <c r="J15" s="25">
        <f t="shared" si="6"/>
        <v>27936317.727650713</v>
      </c>
      <c r="K15" s="24">
        <f t="shared" si="6"/>
        <v>29449204.690000001</v>
      </c>
      <c r="L15" s="2">
        <f t="shared" si="6"/>
        <v>29567095.559999999</v>
      </c>
      <c r="M15" s="2">
        <f t="shared" si="6"/>
        <v>35464918.93</v>
      </c>
      <c r="N15" s="25">
        <f t="shared" si="6"/>
        <v>39700027</v>
      </c>
      <c r="O15" s="64">
        <f t="shared" si="6"/>
        <v>33516342</v>
      </c>
      <c r="P15" s="65">
        <f t="shared" si="6"/>
        <v>36189665.130000003</v>
      </c>
      <c r="Q15" s="65">
        <f t="shared" si="6"/>
        <v>30665418</v>
      </c>
      <c r="R15" s="66">
        <f t="shared" si="6"/>
        <v>29030433</v>
      </c>
      <c r="S15" s="64">
        <f t="shared" si="6"/>
        <v>31694310</v>
      </c>
      <c r="T15" s="65">
        <f t="shared" si="6"/>
        <v>37912548</v>
      </c>
      <c r="U15" s="65">
        <f t="shared" si="6"/>
        <v>46106913</v>
      </c>
      <c r="V15" s="66">
        <f t="shared" si="6"/>
        <v>32922551</v>
      </c>
      <c r="W15" s="64">
        <f>SUM(W16:W23)</f>
        <v>35543400</v>
      </c>
      <c r="X15" s="65">
        <f t="shared" ref="X15:Y15" si="7">SUM(X16:X23)</f>
        <v>29491218</v>
      </c>
      <c r="Y15" s="65">
        <f t="shared" si="7"/>
        <v>26448073.390000001</v>
      </c>
      <c r="AA15" s="202" t="s">
        <v>31</v>
      </c>
      <c r="AB15" s="188">
        <f t="shared" ref="AB15:AI15" si="8">SUM(AB16:AB21)</f>
        <v>32922551</v>
      </c>
      <c r="AC15" s="188">
        <f t="shared" si="8"/>
        <v>88570975</v>
      </c>
      <c r="AD15" s="188">
        <f t="shared" si="8"/>
        <v>76222017</v>
      </c>
      <c r="AE15" s="188">
        <f t="shared" si="8"/>
        <v>57551773</v>
      </c>
      <c r="AF15" s="188">
        <f t="shared" si="8"/>
        <v>45032916</v>
      </c>
      <c r="AG15" s="188">
        <f t="shared" si="8"/>
        <v>40039404</v>
      </c>
      <c r="AH15" s="188">
        <f t="shared" si="8"/>
        <v>37225812</v>
      </c>
      <c r="AI15" s="188">
        <f t="shared" si="8"/>
        <v>48511090.359999999</v>
      </c>
      <c r="AJ15" s="188">
        <f t="shared" ref="AJ15:AK15" si="9">SUM(AJ16:AJ21)</f>
        <v>44672474.489999995</v>
      </c>
      <c r="AK15" s="188">
        <f t="shared" si="9"/>
        <v>64846500.077654541</v>
      </c>
      <c r="AL15" s="188">
        <f t="shared" ref="AL15:AM15" si="10">SUM(AL16:AL21)</f>
        <v>64388643</v>
      </c>
      <c r="AM15" s="188">
        <f t="shared" si="10"/>
        <v>66921612.26666455</v>
      </c>
      <c r="AN15" s="188">
        <f t="shared" ref="AN15" si="11">SUM(AN16:AN21)</f>
        <v>76557897</v>
      </c>
    </row>
    <row r="16" spans="2:40" ht="13.5" customHeight="1" x14ac:dyDescent="0.35">
      <c r="B16" s="19" t="s">
        <v>32</v>
      </c>
      <c r="C16" s="32">
        <v>1660669.3076439947</v>
      </c>
      <c r="D16" s="5">
        <v>2011788.6976445019</v>
      </c>
      <c r="E16" s="5">
        <v>2295765.2176441103</v>
      </c>
      <c r="F16" s="33">
        <v>1981381.3576432168</v>
      </c>
      <c r="G16" s="32">
        <v>1975735.6076461673</v>
      </c>
      <c r="H16" s="5">
        <v>2183862.9376455843</v>
      </c>
      <c r="I16" s="5">
        <v>2375781.7076452225</v>
      </c>
      <c r="J16" s="33">
        <v>2460060.747645244</v>
      </c>
      <c r="K16" s="32">
        <v>2552612</v>
      </c>
      <c r="L16" s="5">
        <v>2862072</v>
      </c>
      <c r="M16" s="5">
        <v>3157140</v>
      </c>
      <c r="N16" s="33">
        <v>3900237</v>
      </c>
      <c r="O16" s="67">
        <v>3466035</v>
      </c>
      <c r="P16" s="68">
        <v>3886173</v>
      </c>
      <c r="Q16" s="68">
        <v>3833032</v>
      </c>
      <c r="R16" s="69">
        <v>3706294</v>
      </c>
      <c r="S16" s="67">
        <v>3947437</v>
      </c>
      <c r="T16" s="68">
        <v>4300384</v>
      </c>
      <c r="U16" s="74">
        <v>4442543</v>
      </c>
      <c r="V16" s="69">
        <v>4682541</v>
      </c>
      <c r="W16" s="67">
        <v>3877061</v>
      </c>
      <c r="X16" s="68">
        <v>3752052</v>
      </c>
      <c r="Y16" s="68">
        <v>3355992</v>
      </c>
      <c r="AA16" s="19" t="s">
        <v>32</v>
      </c>
      <c r="AB16" s="189">
        <v>4682541</v>
      </c>
      <c r="AC16" s="189">
        <v>3012451</v>
      </c>
      <c r="AD16" s="189">
        <v>2566497</v>
      </c>
      <c r="AE16" s="189">
        <v>2828067</v>
      </c>
      <c r="AF16" s="189">
        <v>3301725</v>
      </c>
      <c r="AG16" s="189">
        <v>3483242</v>
      </c>
      <c r="AH16" s="189">
        <v>3553737</v>
      </c>
      <c r="AI16" s="189">
        <v>3779444</v>
      </c>
      <c r="AJ16" s="189">
        <v>4012350</v>
      </c>
      <c r="AK16" s="189">
        <v>4330122.9276263732</v>
      </c>
      <c r="AL16" s="189">
        <v>4226756</v>
      </c>
      <c r="AM16" s="189">
        <v>4404981.9376227567</v>
      </c>
      <c r="AN16" s="189">
        <v>4241947</v>
      </c>
    </row>
    <row r="17" spans="2:40" ht="13.5" customHeight="1" x14ac:dyDescent="0.35">
      <c r="B17" s="19" t="s">
        <v>33</v>
      </c>
      <c r="C17" s="26">
        <v>13240192.98999672</v>
      </c>
      <c r="D17" s="3">
        <v>13310021.239996193</v>
      </c>
      <c r="E17" s="3">
        <v>14561137.039996605</v>
      </c>
      <c r="F17" s="29">
        <v>16481447.219996599</v>
      </c>
      <c r="G17" s="26">
        <v>16274322.940005273</v>
      </c>
      <c r="H17" s="3">
        <v>18064379.950005189</v>
      </c>
      <c r="I17" s="3">
        <v>17782817.920005456</v>
      </c>
      <c r="J17" s="29">
        <v>21689801.620006401</v>
      </c>
      <c r="K17" s="26">
        <v>20903409</v>
      </c>
      <c r="L17" s="3">
        <v>21527023.559999999</v>
      </c>
      <c r="M17" s="3">
        <v>26339160</v>
      </c>
      <c r="N17" s="29">
        <v>31293906</v>
      </c>
      <c r="O17" s="72">
        <v>24959257</v>
      </c>
      <c r="P17" s="71">
        <v>26489906</v>
      </c>
      <c r="Q17" s="71">
        <v>23199330</v>
      </c>
      <c r="R17" s="73">
        <v>22029397</v>
      </c>
      <c r="S17" s="72">
        <v>23224774</v>
      </c>
      <c r="T17" s="71">
        <v>16722588</v>
      </c>
      <c r="U17" s="74">
        <v>18355031</v>
      </c>
      <c r="V17" s="73">
        <v>17686755</v>
      </c>
      <c r="W17" s="72">
        <v>19543338</v>
      </c>
      <c r="X17" s="71">
        <v>19333647</v>
      </c>
      <c r="Y17" s="71">
        <v>18861041</v>
      </c>
      <c r="AA17" s="183" t="s">
        <v>184</v>
      </c>
      <c r="AB17" s="190">
        <f>17686755+96256+2119494</f>
        <v>19902505</v>
      </c>
      <c r="AC17" s="190">
        <v>22977401</v>
      </c>
      <c r="AD17" s="190">
        <v>24699642</v>
      </c>
      <c r="AE17" s="190">
        <v>27567803</v>
      </c>
      <c r="AF17" s="190">
        <v>25033818</v>
      </c>
      <c r="AG17" s="190">
        <v>28742360</v>
      </c>
      <c r="AH17" s="190">
        <v>26290437</v>
      </c>
      <c r="AI17" s="190">
        <v>34400161.359999999</v>
      </c>
      <c r="AJ17" s="190">
        <v>32995534.489999998</v>
      </c>
      <c r="AK17" s="190">
        <v>34397929.9600816</v>
      </c>
      <c r="AL17" s="190">
        <v>34405579</v>
      </c>
      <c r="AM17" s="189">
        <v>41995729.000088997</v>
      </c>
      <c r="AN17" s="189">
        <v>45118498</v>
      </c>
    </row>
    <row r="18" spans="2:40" ht="13.5" customHeight="1" x14ac:dyDescent="0.35">
      <c r="B18" s="19" t="s">
        <v>34</v>
      </c>
      <c r="C18" s="26">
        <v>0</v>
      </c>
      <c r="D18" s="3"/>
      <c r="E18" s="3"/>
      <c r="F18" s="29">
        <v>781204</v>
      </c>
      <c r="G18" s="26">
        <v>520428</v>
      </c>
      <c r="H18" s="3">
        <v>852732.00000000093</v>
      </c>
      <c r="I18" s="3">
        <v>25903</v>
      </c>
      <c r="J18" s="29">
        <v>1066534</v>
      </c>
      <c r="K18" s="26">
        <v>1199377</v>
      </c>
      <c r="L18" s="3">
        <v>616402</v>
      </c>
      <c r="M18" s="3"/>
      <c r="N18" s="29">
        <v>411361</v>
      </c>
      <c r="O18" s="72">
        <v>106408</v>
      </c>
      <c r="P18" s="71">
        <v>661301</v>
      </c>
      <c r="Q18" s="71">
        <v>10293</v>
      </c>
      <c r="R18" s="73"/>
      <c r="S18" s="72">
        <v>166552</v>
      </c>
      <c r="T18" s="71">
        <v>0</v>
      </c>
      <c r="U18" s="74"/>
      <c r="V18" s="73">
        <v>185494</v>
      </c>
      <c r="W18" s="72">
        <v>53652</v>
      </c>
      <c r="X18" s="71"/>
      <c r="Y18" s="71"/>
      <c r="AA18" s="19" t="s">
        <v>34</v>
      </c>
      <c r="AB18" s="190">
        <f>185394+100</f>
        <v>185494</v>
      </c>
      <c r="AC18" s="190">
        <v>209767</v>
      </c>
      <c r="AD18" s="190">
        <v>384568</v>
      </c>
      <c r="AE18" s="190">
        <v>360271</v>
      </c>
      <c r="AF18" s="190">
        <v>239800</v>
      </c>
      <c r="AG18" s="190">
        <v>239800</v>
      </c>
      <c r="AH18" s="190">
        <v>239800</v>
      </c>
      <c r="AI18" s="190">
        <v>239800</v>
      </c>
      <c r="AJ18" s="190">
        <v>65486</v>
      </c>
      <c r="AK18" s="190"/>
      <c r="AL18" s="190"/>
      <c r="AM18" s="189">
        <v>0</v>
      </c>
      <c r="AN18" s="189">
        <v>0</v>
      </c>
    </row>
    <row r="19" spans="2:40" ht="13.5" customHeight="1" x14ac:dyDescent="0.35">
      <c r="B19" s="19"/>
      <c r="C19" s="26"/>
      <c r="D19" s="3"/>
      <c r="E19" s="3"/>
      <c r="F19" s="29"/>
      <c r="G19" s="26"/>
      <c r="H19" s="3"/>
      <c r="I19" s="3"/>
      <c r="J19" s="29"/>
      <c r="K19" s="26"/>
      <c r="L19" s="3"/>
      <c r="M19" s="3"/>
      <c r="N19" s="29"/>
      <c r="O19" s="72"/>
      <c r="P19" s="71"/>
      <c r="Q19" s="71"/>
      <c r="R19" s="73"/>
      <c r="S19" s="72"/>
      <c r="T19" s="71"/>
      <c r="U19" s="74"/>
      <c r="V19" s="73"/>
      <c r="W19" s="72"/>
      <c r="X19" s="71"/>
      <c r="Y19" s="71"/>
      <c r="AA19" s="19" t="s">
        <v>223</v>
      </c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89"/>
      <c r="AN19" s="189">
        <v>1627129</v>
      </c>
    </row>
    <row r="20" spans="2:40" ht="13.5" customHeight="1" x14ac:dyDescent="0.35">
      <c r="B20" s="19" t="s">
        <v>35</v>
      </c>
      <c r="C20" s="26">
        <v>450501.17000009591</v>
      </c>
      <c r="D20" s="3">
        <v>452170.16000009514</v>
      </c>
      <c r="E20" s="3">
        <v>192762.18000009656</v>
      </c>
      <c r="F20" s="29">
        <v>73270.960000099003</v>
      </c>
      <c r="G20" s="26">
        <v>187720.53000011295</v>
      </c>
      <c r="H20" s="3">
        <v>251507.43000011519</v>
      </c>
      <c r="I20" s="3">
        <v>191743.28000011481</v>
      </c>
      <c r="J20" s="29">
        <v>60292.040000112727</v>
      </c>
      <c r="K20" s="26">
        <v>493852</v>
      </c>
      <c r="L20" s="3">
        <v>330384</v>
      </c>
      <c r="M20" s="3">
        <v>424740</v>
      </c>
      <c r="N20" s="29">
        <v>234360</v>
      </c>
      <c r="O20" s="72">
        <v>447482</v>
      </c>
      <c r="P20" s="71">
        <v>926139</v>
      </c>
      <c r="Q20" s="71">
        <v>251307</v>
      </c>
      <c r="R20" s="73">
        <v>83721</v>
      </c>
      <c r="S20" s="72">
        <v>580119</v>
      </c>
      <c r="T20" s="71">
        <v>130376</v>
      </c>
      <c r="U20" s="74">
        <v>198160</v>
      </c>
      <c r="V20" s="73">
        <v>96256</v>
      </c>
      <c r="W20" s="72">
        <v>306660</v>
      </c>
      <c r="X20" s="71">
        <v>287543</v>
      </c>
      <c r="Y20" s="71">
        <v>331333</v>
      </c>
      <c r="AA20" s="7" t="s">
        <v>28</v>
      </c>
      <c r="AB20" s="190"/>
      <c r="AC20" s="190"/>
      <c r="AD20" s="190"/>
      <c r="AE20" s="190"/>
      <c r="AF20" s="190"/>
      <c r="AG20" s="190">
        <v>379481</v>
      </c>
      <c r="AH20" s="190"/>
      <c r="AI20" s="190"/>
      <c r="AJ20" s="190">
        <v>0</v>
      </c>
      <c r="AK20" s="190">
        <v>0</v>
      </c>
      <c r="AL20" s="190">
        <v>0</v>
      </c>
      <c r="AM20" s="189">
        <v>0</v>
      </c>
      <c r="AN20" s="189">
        <v>1662298</v>
      </c>
    </row>
    <row r="21" spans="2:40" ht="13.5" customHeight="1" thickBot="1" x14ac:dyDescent="0.4">
      <c r="B21" s="19" t="s">
        <v>28</v>
      </c>
      <c r="C21" s="26">
        <v>0</v>
      </c>
      <c r="D21" s="3"/>
      <c r="E21" s="3"/>
      <c r="F21" s="29"/>
      <c r="G21" s="26"/>
      <c r="H21" s="3">
        <v>150690</v>
      </c>
      <c r="I21" s="3"/>
      <c r="J21" s="29">
        <v>150739.73000000045</v>
      </c>
      <c r="K21" s="26">
        <v>152219</v>
      </c>
      <c r="L21" s="3">
        <v>204071</v>
      </c>
      <c r="M21" s="3">
        <v>155227</v>
      </c>
      <c r="N21" s="29">
        <v>156740</v>
      </c>
      <c r="O21" s="72">
        <v>158219</v>
      </c>
      <c r="P21" s="71">
        <v>159715</v>
      </c>
      <c r="Q21" s="71"/>
      <c r="R21" s="73"/>
      <c r="S21" s="72"/>
      <c r="T21" s="71">
        <v>0</v>
      </c>
      <c r="U21" s="74"/>
      <c r="V21" s="73"/>
      <c r="W21" s="72"/>
      <c r="X21" s="71"/>
      <c r="Y21" s="71"/>
      <c r="AA21" s="135" t="s">
        <v>37</v>
      </c>
      <c r="AB21" s="203">
        <v>8152011</v>
      </c>
      <c r="AC21" s="203">
        <v>62371356</v>
      </c>
      <c r="AD21" s="203">
        <v>48571310</v>
      </c>
      <c r="AE21" s="203">
        <v>26795632</v>
      </c>
      <c r="AF21" s="203">
        <v>16457573</v>
      </c>
      <c r="AG21" s="203">
        <v>7194521</v>
      </c>
      <c r="AH21" s="203">
        <v>7141838</v>
      </c>
      <c r="AI21" s="203">
        <v>10091685</v>
      </c>
      <c r="AJ21" s="203">
        <v>7599104</v>
      </c>
      <c r="AK21" s="203">
        <v>26118447.18994657</v>
      </c>
      <c r="AL21" s="203">
        <v>25756308</v>
      </c>
      <c r="AM21" s="189">
        <v>20520901.328952793</v>
      </c>
      <c r="AN21" s="189">
        <v>23908025</v>
      </c>
    </row>
    <row r="22" spans="2:40" ht="13.5" customHeight="1" thickBot="1" x14ac:dyDescent="0.4">
      <c r="B22" s="19" t="s">
        <v>36</v>
      </c>
      <c r="C22" s="26">
        <v>3470731.0199999623</v>
      </c>
      <c r="D22" s="3">
        <v>1921973.5499999621</v>
      </c>
      <c r="E22" s="3">
        <v>2313275.3899999587</v>
      </c>
      <c r="F22" s="29">
        <v>1715370.9799999599</v>
      </c>
      <c r="G22" s="26">
        <v>3565007.4199999729</v>
      </c>
      <c r="H22" s="3">
        <v>1627061.7499999797</v>
      </c>
      <c r="I22" s="3">
        <v>2123371.5499999812</v>
      </c>
      <c r="J22" s="29">
        <v>1733631.659999978</v>
      </c>
      <c r="K22" s="26">
        <v>3171986.69</v>
      </c>
      <c r="L22" s="3">
        <v>2833773</v>
      </c>
      <c r="M22" s="3">
        <v>3301814.93</v>
      </c>
      <c r="N22" s="29">
        <v>2166753</v>
      </c>
      <c r="O22" s="72">
        <v>2653734</v>
      </c>
      <c r="P22" s="71">
        <v>1989619.13</v>
      </c>
      <c r="Q22" s="71">
        <v>1476352</v>
      </c>
      <c r="R22" s="73">
        <v>1644837</v>
      </c>
      <c r="S22" s="72">
        <v>2882163</v>
      </c>
      <c r="T22" s="71">
        <v>1975737</v>
      </c>
      <c r="U22" s="74">
        <v>1615066</v>
      </c>
      <c r="V22" s="73">
        <v>2119494</v>
      </c>
      <c r="W22" s="72">
        <v>3061132</v>
      </c>
      <c r="X22" s="71">
        <v>2390349</v>
      </c>
      <c r="Y22" s="71">
        <v>2031902.3900000001</v>
      </c>
      <c r="AA22" s="192" t="s">
        <v>38</v>
      </c>
      <c r="AB22" s="204">
        <f t="shared" ref="AB22:AH22" si="12">SUM(AB6,AB15)</f>
        <v>419910400</v>
      </c>
      <c r="AC22" s="204">
        <f t="shared" si="12"/>
        <v>465612117</v>
      </c>
      <c r="AD22" s="204">
        <f t="shared" si="12"/>
        <v>473405987</v>
      </c>
      <c r="AE22" s="204">
        <f t="shared" si="12"/>
        <v>455886328</v>
      </c>
      <c r="AF22" s="204">
        <f t="shared" si="12"/>
        <v>455628474</v>
      </c>
      <c r="AG22" s="204">
        <f t="shared" si="12"/>
        <v>453280983.71187663</v>
      </c>
      <c r="AH22" s="204">
        <f t="shared" si="12"/>
        <v>490751670.51999998</v>
      </c>
      <c r="AI22" s="204">
        <f t="shared" ref="AI22:AJ22" si="13">SUM(AI6,AI15)</f>
        <v>506723399</v>
      </c>
      <c r="AJ22" s="204">
        <f t="shared" si="13"/>
        <v>491967444.570032</v>
      </c>
      <c r="AK22" s="204">
        <f t="shared" ref="AK22:AL22" si="14">SUM(AK6,AK15)</f>
        <v>507101772.04768658</v>
      </c>
      <c r="AL22" s="204">
        <f t="shared" si="14"/>
        <v>524664130</v>
      </c>
      <c r="AM22" s="204">
        <f t="shared" ref="AM22:AN22" si="15">SUM(AM6,AM15)</f>
        <v>544996998.00671256</v>
      </c>
      <c r="AN22" s="204">
        <f t="shared" si="15"/>
        <v>530164484</v>
      </c>
    </row>
    <row r="23" spans="2:40" ht="13.5" customHeight="1" thickBot="1" x14ac:dyDescent="0.4">
      <c r="B23" s="135" t="s">
        <v>37</v>
      </c>
      <c r="C23" s="131">
        <v>604156.79999982007</v>
      </c>
      <c r="D23" s="129">
        <v>735709.58999984118</v>
      </c>
      <c r="E23" s="129">
        <v>572822.39999987755</v>
      </c>
      <c r="F23" s="130">
        <v>484117.97999999713</v>
      </c>
      <c r="G23" s="131">
        <v>1009260.0999990086</v>
      </c>
      <c r="H23" s="129">
        <v>1019555.2499989995</v>
      </c>
      <c r="I23" s="129">
        <v>1209196.3899990255</v>
      </c>
      <c r="J23" s="130">
        <v>775257.92999897501</v>
      </c>
      <c r="K23" s="131">
        <v>975749</v>
      </c>
      <c r="L23" s="129">
        <v>1193370</v>
      </c>
      <c r="M23" s="129">
        <v>2086837</v>
      </c>
      <c r="N23" s="130">
        <v>1536670</v>
      </c>
      <c r="O23" s="136">
        <v>1725207</v>
      </c>
      <c r="P23" s="137">
        <v>2076812</v>
      </c>
      <c r="Q23" s="137">
        <v>1895104</v>
      </c>
      <c r="R23" s="138">
        <v>1566184</v>
      </c>
      <c r="S23" s="136">
        <v>893265</v>
      </c>
      <c r="T23" s="137">
        <v>14783463</v>
      </c>
      <c r="U23" s="145">
        <v>21496113</v>
      </c>
      <c r="V23" s="138">
        <v>8152011</v>
      </c>
      <c r="W23" s="136">
        <v>8701557</v>
      </c>
      <c r="X23" s="137">
        <v>3727627</v>
      </c>
      <c r="Y23" s="137">
        <v>1867805</v>
      </c>
    </row>
    <row r="24" spans="2:40" ht="13.5" customHeight="1" thickBot="1" x14ac:dyDescent="0.4">
      <c r="B24" s="108" t="s">
        <v>38</v>
      </c>
      <c r="C24" s="139">
        <f t="shared" ref="C24:V24" si="16">C6+C15</f>
        <v>180707341.18764237</v>
      </c>
      <c r="D24" s="140">
        <f t="shared" si="16"/>
        <v>180566499.31764233</v>
      </c>
      <c r="E24" s="140">
        <f t="shared" si="16"/>
        <v>187564698.27764243</v>
      </c>
      <c r="F24" s="141">
        <f t="shared" si="16"/>
        <v>193278439.85764176</v>
      </c>
      <c r="G24" s="139">
        <f t="shared" si="16"/>
        <v>193485289.37765321</v>
      </c>
      <c r="H24" s="140">
        <f t="shared" si="16"/>
        <v>193594059.94765255</v>
      </c>
      <c r="I24" s="140">
        <f t="shared" si="16"/>
        <v>195437297.27764982</v>
      </c>
      <c r="J24" s="141">
        <f t="shared" si="16"/>
        <v>201536037.33765379</v>
      </c>
      <c r="K24" s="139">
        <f t="shared" si="16"/>
        <v>201529760</v>
      </c>
      <c r="L24" s="140">
        <f t="shared" si="16"/>
        <v>201072060.56</v>
      </c>
      <c r="M24" s="140">
        <f t="shared" si="16"/>
        <v>207521057.93000001</v>
      </c>
      <c r="N24" s="141">
        <f t="shared" si="16"/>
        <v>223327159</v>
      </c>
      <c r="O24" s="142">
        <f t="shared" si="16"/>
        <v>453420943</v>
      </c>
      <c r="P24" s="143">
        <f t="shared" si="16"/>
        <v>455806607.04000002</v>
      </c>
      <c r="Q24" s="143">
        <f t="shared" si="16"/>
        <v>439108710</v>
      </c>
      <c r="R24" s="144">
        <f t="shared" si="16"/>
        <v>445115903</v>
      </c>
      <c r="S24" s="142">
        <f t="shared" si="16"/>
        <v>436807276</v>
      </c>
      <c r="T24" s="143">
        <f t="shared" si="16"/>
        <v>434471681</v>
      </c>
      <c r="U24" s="143">
        <f t="shared" si="16"/>
        <v>435190397</v>
      </c>
      <c r="V24" s="144">
        <f t="shared" si="16"/>
        <v>419910400</v>
      </c>
      <c r="W24" s="142">
        <f>W6+W15</f>
        <v>413345778</v>
      </c>
      <c r="X24" s="143">
        <f t="shared" ref="X24:Y24" si="17">X6+X15</f>
        <v>406913710</v>
      </c>
      <c r="Y24" s="143">
        <f t="shared" si="17"/>
        <v>403907938.38999999</v>
      </c>
    </row>
    <row r="31" spans="2:40" ht="15" thickBot="1" x14ac:dyDescent="0.4"/>
    <row r="32" spans="2:40" x14ac:dyDescent="0.35">
      <c r="C32" s="281">
        <v>2016</v>
      </c>
      <c r="D32" s="282"/>
      <c r="E32" s="282"/>
      <c r="F32" s="283"/>
      <c r="G32" s="281">
        <v>2017</v>
      </c>
      <c r="H32" s="282"/>
      <c r="I32" s="282"/>
      <c r="J32" s="283"/>
      <c r="K32" s="281">
        <v>2018</v>
      </c>
      <c r="L32" s="282"/>
      <c r="M32" s="282"/>
      <c r="N32" s="283"/>
      <c r="O32" s="281">
        <v>2019</v>
      </c>
      <c r="P32" s="282"/>
      <c r="Q32" s="282"/>
      <c r="R32" s="283"/>
      <c r="S32" s="281">
        <v>2020</v>
      </c>
      <c r="T32" s="282"/>
      <c r="U32" s="282"/>
      <c r="V32" s="283"/>
      <c r="W32" s="281">
        <v>2021</v>
      </c>
      <c r="X32" s="282"/>
      <c r="Y32" s="282"/>
      <c r="AB32" s="176">
        <v>2020</v>
      </c>
      <c r="AC32" s="176">
        <v>2021</v>
      </c>
      <c r="AD32" s="176">
        <f t="shared" ref="AD32:AE34" si="18">AD3</f>
        <v>2022</v>
      </c>
      <c r="AE32" s="176">
        <f t="shared" si="18"/>
        <v>2022</v>
      </c>
      <c r="AF32" s="176">
        <f t="shared" ref="AF32:AG32" si="19">AF3</f>
        <v>2022</v>
      </c>
      <c r="AG32" s="176">
        <f t="shared" si="19"/>
        <v>2022</v>
      </c>
      <c r="AH32" s="176">
        <f t="shared" ref="AH32:AI32" si="20">AH3</f>
        <v>2023</v>
      </c>
      <c r="AI32" s="176">
        <f t="shared" si="20"/>
        <v>2023</v>
      </c>
      <c r="AJ32" s="176">
        <f t="shared" ref="AJ32:AK32" si="21">AJ3</f>
        <v>2023</v>
      </c>
      <c r="AK32" s="176">
        <f t="shared" si="21"/>
        <v>2023</v>
      </c>
      <c r="AL32" s="176">
        <f t="shared" ref="AL32:AM32" si="22">AL3</f>
        <v>2024</v>
      </c>
      <c r="AM32" s="176">
        <f t="shared" si="22"/>
        <v>2024</v>
      </c>
      <c r="AN32" s="176">
        <f t="shared" ref="AN32" si="23">AN3</f>
        <v>2024</v>
      </c>
    </row>
    <row r="33" spans="2:40" x14ac:dyDescent="0.35">
      <c r="B33" s="14" t="s">
        <v>158</v>
      </c>
      <c r="C33" s="54" t="s">
        <v>115</v>
      </c>
      <c r="D33" s="55" t="s">
        <v>116</v>
      </c>
      <c r="E33" s="55" t="s">
        <v>117</v>
      </c>
      <c r="F33" s="56" t="s">
        <v>118</v>
      </c>
      <c r="G33" s="54" t="s">
        <v>115</v>
      </c>
      <c r="H33" s="55" t="s">
        <v>116</v>
      </c>
      <c r="I33" s="55" t="s">
        <v>117</v>
      </c>
      <c r="J33" s="56" t="s">
        <v>118</v>
      </c>
      <c r="K33" s="54" t="s">
        <v>115</v>
      </c>
      <c r="L33" s="55" t="s">
        <v>116</v>
      </c>
      <c r="M33" s="55" t="s">
        <v>117</v>
      </c>
      <c r="N33" s="56" t="s">
        <v>118</v>
      </c>
      <c r="O33" s="54" t="s">
        <v>115</v>
      </c>
      <c r="P33" s="55" t="s">
        <v>116</v>
      </c>
      <c r="Q33" s="55" t="s">
        <v>117</v>
      </c>
      <c r="R33" s="56" t="s">
        <v>118</v>
      </c>
      <c r="S33" s="54" t="s">
        <v>115</v>
      </c>
      <c r="T33" s="55" t="s">
        <v>116</v>
      </c>
      <c r="U33" s="55" t="s">
        <v>117</v>
      </c>
      <c r="V33" s="56" t="s">
        <v>118</v>
      </c>
      <c r="W33" s="54" t="s">
        <v>115</v>
      </c>
      <c r="X33" s="55" t="s">
        <v>116</v>
      </c>
      <c r="Y33" s="55" t="s">
        <v>117</v>
      </c>
      <c r="AA33" s="201" t="s">
        <v>158</v>
      </c>
      <c r="AB33" s="179" t="s">
        <v>118</v>
      </c>
      <c r="AC33" s="179" t="s">
        <v>118</v>
      </c>
      <c r="AD33" s="179" t="str">
        <f t="shared" si="18"/>
        <v>1Q</v>
      </c>
      <c r="AE33" s="179" t="str">
        <f t="shared" si="18"/>
        <v>2Q</v>
      </c>
      <c r="AF33" s="179" t="str">
        <f t="shared" ref="AF33:AG33" si="24">AF4</f>
        <v>3Q</v>
      </c>
      <c r="AG33" s="179" t="str">
        <f t="shared" si="24"/>
        <v>4Q</v>
      </c>
      <c r="AH33" s="179" t="str">
        <f t="shared" ref="AH33:AI33" si="25">AH4</f>
        <v>1Q</v>
      </c>
      <c r="AI33" s="179" t="str">
        <f t="shared" si="25"/>
        <v>2Q</v>
      </c>
      <c r="AJ33" s="179" t="str">
        <f t="shared" ref="AJ33:AK33" si="26">AJ4</f>
        <v>3Q</v>
      </c>
      <c r="AK33" s="179" t="str">
        <f t="shared" si="26"/>
        <v>4Q</v>
      </c>
      <c r="AL33" s="179" t="str">
        <f t="shared" ref="AL33:AM33" si="27">AL4</f>
        <v>1Q</v>
      </c>
      <c r="AM33" s="179" t="str">
        <f t="shared" si="27"/>
        <v>2Q</v>
      </c>
      <c r="AN33" s="179" t="str">
        <f t="shared" ref="AN33" si="28">AN4</f>
        <v>3Q</v>
      </c>
    </row>
    <row r="34" spans="2:40" ht="35.25" customHeight="1" x14ac:dyDescent="0.35">
      <c r="B34" s="76" t="s">
        <v>168</v>
      </c>
      <c r="C34" s="22" t="s">
        <v>129</v>
      </c>
      <c r="D34" s="15" t="s">
        <v>139</v>
      </c>
      <c r="E34" s="15" t="s">
        <v>148</v>
      </c>
      <c r="F34" s="23" t="s">
        <v>128</v>
      </c>
      <c r="G34" s="50" t="s">
        <v>126</v>
      </c>
      <c r="H34" s="15" t="s">
        <v>137</v>
      </c>
      <c r="I34" s="15" t="s">
        <v>147</v>
      </c>
      <c r="J34" s="51" t="s">
        <v>125</v>
      </c>
      <c r="K34" s="50" t="s">
        <v>124</v>
      </c>
      <c r="L34" s="15" t="s">
        <v>135</v>
      </c>
      <c r="M34" s="15" t="s">
        <v>145</v>
      </c>
      <c r="N34" s="51" t="s">
        <v>123</v>
      </c>
      <c r="O34" s="50" t="s">
        <v>121</v>
      </c>
      <c r="P34" s="15" t="s">
        <v>133</v>
      </c>
      <c r="Q34" s="1" t="s">
        <v>154</v>
      </c>
      <c r="R34" s="51" t="s">
        <v>120</v>
      </c>
      <c r="S34" s="50" t="s">
        <v>114</v>
      </c>
      <c r="T34" s="15" t="s">
        <v>132</v>
      </c>
      <c r="U34" s="15" t="s">
        <v>142</v>
      </c>
      <c r="V34" s="51" t="s">
        <v>113</v>
      </c>
      <c r="W34" s="50" t="s">
        <v>112</v>
      </c>
      <c r="X34" s="15" t="s">
        <v>162</v>
      </c>
      <c r="Y34" s="15" t="s">
        <v>163</v>
      </c>
      <c r="AA34" s="76" t="s">
        <v>168</v>
      </c>
      <c r="AB34" s="164" t="str">
        <f>AB5</f>
        <v>stan na 31.12.2020 r.</v>
      </c>
      <c r="AC34" s="175" t="str">
        <f>AC5</f>
        <v>stan na 31.12.2021 r.</v>
      </c>
      <c r="AD34" s="175" t="str">
        <f t="shared" si="18"/>
        <v>stan na 31.03.2022 r.</v>
      </c>
      <c r="AE34" s="175" t="str">
        <f t="shared" si="18"/>
        <v>stan na 30.06.2022 r.</v>
      </c>
      <c r="AF34" s="175" t="str">
        <f t="shared" ref="AF34:AG34" si="29">AF5</f>
        <v>stan na 30.09.2022 r.</v>
      </c>
      <c r="AG34" s="175" t="str">
        <f t="shared" si="29"/>
        <v>stan na 31.12.2022 r.</v>
      </c>
      <c r="AH34" s="175" t="str">
        <f t="shared" ref="AH34:AI34" si="30">AH5</f>
        <v>stan na 31.03.2023 r.</v>
      </c>
      <c r="AI34" s="175" t="str">
        <f t="shared" si="30"/>
        <v>stan na 30.06.2023 r.</v>
      </c>
      <c r="AJ34" s="175" t="str">
        <f t="shared" ref="AJ34:AK34" si="31">AJ5</f>
        <v>stan na 30.09.2023 r.</v>
      </c>
      <c r="AK34" s="175" t="str">
        <f t="shared" si="31"/>
        <v>stan na 31.12.2023 r.</v>
      </c>
      <c r="AL34" s="175" t="str">
        <f t="shared" ref="AL34:AM34" si="32">AL5</f>
        <v>stan na 31.03.2024 r.</v>
      </c>
      <c r="AM34" s="175" t="str">
        <f t="shared" si="32"/>
        <v>stan na 30.06.2024 r.</v>
      </c>
      <c r="AN34" s="175" t="str">
        <f t="shared" ref="AN34" si="33">AN5</f>
        <v>stan na 30.09.2024 r.</v>
      </c>
    </row>
    <row r="35" spans="2:40" ht="13.5" customHeight="1" x14ac:dyDescent="0.35">
      <c r="B35" s="120" t="s">
        <v>24</v>
      </c>
      <c r="C35" s="125">
        <f>SUM(C36:C40)</f>
        <v>161281089.90000176</v>
      </c>
      <c r="D35" s="126">
        <f t="shared" ref="D35:Y35" si="34">SUM(D36:D40)</f>
        <v>162134836.08000174</v>
      </c>
      <c r="E35" s="126">
        <f t="shared" si="34"/>
        <v>167628936.05000177</v>
      </c>
      <c r="F35" s="127">
        <f t="shared" si="34"/>
        <v>171761647.36000189</v>
      </c>
      <c r="G35" s="125">
        <f t="shared" si="34"/>
        <v>169952814.78000268</v>
      </c>
      <c r="H35" s="126">
        <f t="shared" si="34"/>
        <v>169444270.63000268</v>
      </c>
      <c r="I35" s="126">
        <f t="shared" si="34"/>
        <v>171728483.43000001</v>
      </c>
      <c r="J35" s="127">
        <f t="shared" si="34"/>
        <v>173599719.61000308</v>
      </c>
      <c r="K35" s="125">
        <f t="shared" si="34"/>
        <v>172080555.31</v>
      </c>
      <c r="L35" s="126">
        <f t="shared" si="34"/>
        <v>171504965</v>
      </c>
      <c r="M35" s="126">
        <f t="shared" si="34"/>
        <v>172056139</v>
      </c>
      <c r="N35" s="127">
        <f t="shared" si="34"/>
        <v>183627132</v>
      </c>
      <c r="O35" s="125">
        <f t="shared" si="34"/>
        <v>184565000</v>
      </c>
      <c r="P35" s="126">
        <f t="shared" si="34"/>
        <v>183989000</v>
      </c>
      <c r="Q35" s="126">
        <f t="shared" si="34"/>
        <v>181581000</v>
      </c>
      <c r="R35" s="127">
        <f t="shared" si="34"/>
        <v>181965066</v>
      </c>
      <c r="S35" s="125">
        <f t="shared" si="34"/>
        <v>180565542.46000001</v>
      </c>
      <c r="T35" s="126">
        <f t="shared" si="34"/>
        <v>175876085.56</v>
      </c>
      <c r="U35" s="126">
        <f t="shared" si="34"/>
        <v>173001391</v>
      </c>
      <c r="V35" s="127">
        <f t="shared" si="34"/>
        <v>167636675</v>
      </c>
      <c r="W35" s="125">
        <f t="shared" si="34"/>
        <v>166427692</v>
      </c>
      <c r="X35" s="126">
        <f t="shared" si="34"/>
        <v>169731932</v>
      </c>
      <c r="Y35" s="126">
        <f t="shared" si="34"/>
        <v>177186063</v>
      </c>
      <c r="AA35" s="120" t="s">
        <v>24</v>
      </c>
      <c r="AB35" s="177">
        <f t="shared" ref="AB35:AI35" si="35">SUM(AB36:AB42)</f>
        <v>167636675</v>
      </c>
      <c r="AC35" s="177">
        <f t="shared" si="35"/>
        <v>184812207</v>
      </c>
      <c r="AD35" s="177">
        <f t="shared" si="35"/>
        <v>191514186.81999999</v>
      </c>
      <c r="AE35" s="177">
        <f t="shared" si="35"/>
        <v>198667540</v>
      </c>
      <c r="AF35" s="177">
        <f t="shared" si="35"/>
        <v>207297758</v>
      </c>
      <c r="AG35" s="177">
        <f t="shared" si="35"/>
        <v>214757156</v>
      </c>
      <c r="AH35" s="177">
        <f t="shared" si="35"/>
        <v>220176490</v>
      </c>
      <c r="AI35" s="177">
        <f t="shared" si="35"/>
        <v>220862149</v>
      </c>
      <c r="AJ35" s="177">
        <f t="shared" ref="AJ35:AK35" si="36">SUM(AJ36:AJ42)</f>
        <v>217683840.76003188</v>
      </c>
      <c r="AK35" s="177">
        <f t="shared" si="36"/>
        <v>218976352.81003192</v>
      </c>
      <c r="AL35" s="177">
        <f t="shared" ref="AL35:AM35" si="37">SUM(AL36:AL42)</f>
        <v>228619449.36000001</v>
      </c>
      <c r="AM35" s="177">
        <f t="shared" si="37"/>
        <v>226705061.84004673</v>
      </c>
      <c r="AN35" s="177">
        <f t="shared" ref="AN35" si="38">SUM(AN36:AN42)</f>
        <v>195729265.50999999</v>
      </c>
    </row>
    <row r="36" spans="2:40" ht="13.5" customHeight="1" x14ac:dyDescent="0.35">
      <c r="B36" s="19" t="s">
        <v>25</v>
      </c>
      <c r="C36" s="32">
        <f>C7</f>
        <v>104899670.37000176</v>
      </c>
      <c r="D36" s="5">
        <f t="shared" ref="D36:N36" si="39">D7</f>
        <v>105572572.77000174</v>
      </c>
      <c r="E36" s="5">
        <f t="shared" si="39"/>
        <v>111132345.40000178</v>
      </c>
      <c r="F36" s="33">
        <f t="shared" si="39"/>
        <v>114664794.81000188</v>
      </c>
      <c r="G36" s="32">
        <f t="shared" si="39"/>
        <v>113234618.54000258</v>
      </c>
      <c r="H36" s="5">
        <f t="shared" si="39"/>
        <v>111964039.18000259</v>
      </c>
      <c r="I36" s="5">
        <f t="shared" si="39"/>
        <v>111764093.18000001</v>
      </c>
      <c r="J36" s="33">
        <f t="shared" si="39"/>
        <v>113727279.600003</v>
      </c>
      <c r="K36" s="32">
        <f t="shared" si="39"/>
        <v>111907763.52</v>
      </c>
      <c r="L36" s="5">
        <f t="shared" si="39"/>
        <v>110728590</v>
      </c>
      <c r="M36" s="5">
        <f t="shared" si="39"/>
        <v>112283926</v>
      </c>
      <c r="N36" s="33">
        <f t="shared" si="39"/>
        <v>123438258</v>
      </c>
      <c r="O36" s="32">
        <v>124051000</v>
      </c>
      <c r="P36" s="5">
        <v>124243000</v>
      </c>
      <c r="Q36" s="5">
        <v>122921000</v>
      </c>
      <c r="R36" s="33">
        <v>122470151</v>
      </c>
      <c r="S36" s="32">
        <v>120965386.46000001</v>
      </c>
      <c r="T36" s="5">
        <v>116389496.56000002</v>
      </c>
      <c r="U36" s="12">
        <v>113582521</v>
      </c>
      <c r="V36" s="33">
        <v>112913498</v>
      </c>
      <c r="W36" s="32">
        <v>111332638</v>
      </c>
      <c r="X36" s="5">
        <v>114270960</v>
      </c>
      <c r="Y36" s="5">
        <v>121085402</v>
      </c>
      <c r="AA36" s="19" t="s">
        <v>25</v>
      </c>
      <c r="AB36" s="174">
        <v>112913498</v>
      </c>
      <c r="AC36" s="174">
        <v>122561700</v>
      </c>
      <c r="AD36" s="174">
        <v>127759896.47</v>
      </c>
      <c r="AE36" s="174">
        <v>133803710</v>
      </c>
      <c r="AF36" s="174">
        <v>137539023</v>
      </c>
      <c r="AG36" s="174">
        <v>143235300</v>
      </c>
      <c r="AH36" s="174">
        <v>146868400</v>
      </c>
      <c r="AI36" s="174">
        <v>147805492</v>
      </c>
      <c r="AJ36" s="174">
        <v>141381116.25003189</v>
      </c>
      <c r="AK36" s="174">
        <v>145500458.5700317</v>
      </c>
      <c r="AL36" s="174">
        <v>155655136.19000003</v>
      </c>
      <c r="AM36" s="174">
        <v>154719628.60004652</v>
      </c>
      <c r="AN36" s="174">
        <v>162407824.50999999</v>
      </c>
    </row>
    <row r="37" spans="2:40" ht="13.5" customHeight="1" x14ac:dyDescent="0.35">
      <c r="B37" s="46" t="s">
        <v>167</v>
      </c>
      <c r="C37" s="26">
        <f>C8</f>
        <v>0</v>
      </c>
      <c r="D37" s="3">
        <f t="shared" ref="D37:N37" si="40">D8</f>
        <v>0</v>
      </c>
      <c r="E37" s="3">
        <f t="shared" si="40"/>
        <v>0</v>
      </c>
      <c r="F37" s="29">
        <f t="shared" si="40"/>
        <v>0</v>
      </c>
      <c r="G37" s="26">
        <f t="shared" si="40"/>
        <v>0</v>
      </c>
      <c r="H37" s="3">
        <f t="shared" si="40"/>
        <v>0</v>
      </c>
      <c r="I37" s="3">
        <f t="shared" si="40"/>
        <v>0</v>
      </c>
      <c r="J37" s="29">
        <f t="shared" si="40"/>
        <v>0</v>
      </c>
      <c r="K37" s="32">
        <f t="shared" si="40"/>
        <v>0</v>
      </c>
      <c r="L37" s="3">
        <f t="shared" si="40"/>
        <v>0</v>
      </c>
      <c r="M37" s="3">
        <f t="shared" si="40"/>
        <v>0</v>
      </c>
      <c r="N37" s="33">
        <f t="shared" si="40"/>
        <v>0</v>
      </c>
      <c r="O37" s="32"/>
      <c r="P37" s="3"/>
      <c r="Q37" s="5"/>
      <c r="R37" s="33"/>
      <c r="S37" s="32"/>
      <c r="T37" s="3"/>
      <c r="U37" s="12"/>
      <c r="V37" s="33"/>
      <c r="W37" s="124"/>
      <c r="X37" s="5"/>
      <c r="Y37" s="5"/>
      <c r="AA37" s="46" t="s">
        <v>167</v>
      </c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</row>
    <row r="38" spans="2:40" ht="13.5" customHeight="1" x14ac:dyDescent="0.35">
      <c r="B38" s="19" t="s">
        <v>26</v>
      </c>
      <c r="C38" s="26">
        <f>C9</f>
        <v>3767126.6200000066</v>
      </c>
      <c r="D38" s="3">
        <f t="shared" ref="D38:N38" si="41">D9</f>
        <v>3862660.3900000062</v>
      </c>
      <c r="E38" s="3">
        <f t="shared" si="41"/>
        <v>3877197.7400000058</v>
      </c>
      <c r="F38" s="29">
        <f t="shared" si="41"/>
        <v>3995156.3100000042</v>
      </c>
      <c r="G38" s="26">
        <f t="shared" si="41"/>
        <v>4116804.0000000894</v>
      </c>
      <c r="H38" s="3">
        <f t="shared" si="41"/>
        <v>4417186.0100000873</v>
      </c>
      <c r="I38" s="3">
        <f t="shared" si="41"/>
        <v>4949739.82</v>
      </c>
      <c r="J38" s="29">
        <f t="shared" si="41"/>
        <v>4868621.6700000875</v>
      </c>
      <c r="K38" s="26">
        <f t="shared" si="41"/>
        <v>4986092.4799999986</v>
      </c>
      <c r="L38" s="3">
        <f t="shared" si="41"/>
        <v>5260220</v>
      </c>
      <c r="M38" s="3">
        <f t="shared" si="41"/>
        <v>6421835</v>
      </c>
      <c r="N38" s="29">
        <f t="shared" si="41"/>
        <v>7185559</v>
      </c>
      <c r="O38" s="26">
        <v>7408000</v>
      </c>
      <c r="P38" s="3">
        <v>7219000</v>
      </c>
      <c r="Q38" s="3">
        <v>7041000</v>
      </c>
      <c r="R38" s="29">
        <v>7711394</v>
      </c>
      <c r="S38" s="26">
        <v>7815536</v>
      </c>
      <c r="T38" s="3">
        <v>7689429</v>
      </c>
      <c r="U38" s="12">
        <v>7670417</v>
      </c>
      <c r="V38" s="29">
        <v>7948201</v>
      </c>
      <c r="W38" s="26">
        <v>8292748</v>
      </c>
      <c r="X38" s="3">
        <v>8686448</v>
      </c>
      <c r="Y38" s="3">
        <v>9294137</v>
      </c>
      <c r="AA38" s="19" t="s">
        <v>26</v>
      </c>
      <c r="AB38" s="162">
        <v>7948201</v>
      </c>
      <c r="AC38" s="162">
        <v>14881769</v>
      </c>
      <c r="AD38" s="162">
        <v>15421012.35</v>
      </c>
      <c r="AE38" s="162">
        <v>15511715</v>
      </c>
      <c r="AF38" s="162">
        <v>16294614</v>
      </c>
      <c r="AG38" s="162">
        <v>17378582</v>
      </c>
      <c r="AH38" s="162">
        <v>17354916</v>
      </c>
      <c r="AI38" s="162">
        <v>17893355</v>
      </c>
      <c r="AJ38" s="162">
        <v>21221993</v>
      </c>
      <c r="AK38" s="162">
        <v>21216910.370000206</v>
      </c>
      <c r="AL38" s="162">
        <v>21298779.170000002</v>
      </c>
      <c r="AM38" s="162">
        <v>21387030.240000207</v>
      </c>
      <c r="AN38" s="162">
        <v>21718762</v>
      </c>
    </row>
    <row r="39" spans="2:40" ht="13.5" customHeight="1" x14ac:dyDescent="0.35">
      <c r="B39" s="19" t="s">
        <v>27</v>
      </c>
      <c r="C39" s="26">
        <f>C10</f>
        <v>51940000</v>
      </c>
      <c r="D39" s="3">
        <f t="shared" ref="D39:N39" si="42">D10</f>
        <v>51940000</v>
      </c>
      <c r="E39" s="3">
        <f t="shared" si="42"/>
        <v>51940000</v>
      </c>
      <c r="F39" s="29">
        <f t="shared" si="42"/>
        <v>51940000</v>
      </c>
      <c r="G39" s="26">
        <f t="shared" si="42"/>
        <v>51940000</v>
      </c>
      <c r="H39" s="3">
        <f t="shared" si="42"/>
        <v>51940000</v>
      </c>
      <c r="I39" s="3">
        <f t="shared" si="42"/>
        <v>53900200</v>
      </c>
      <c r="J39" s="29">
        <f t="shared" si="42"/>
        <v>53900200</v>
      </c>
      <c r="K39" s="26">
        <f t="shared" si="42"/>
        <v>53910085</v>
      </c>
      <c r="L39" s="3">
        <f t="shared" si="42"/>
        <v>54159085</v>
      </c>
      <c r="M39" s="3">
        <f t="shared" si="42"/>
        <v>51940000</v>
      </c>
      <c r="N39" s="29">
        <f t="shared" si="42"/>
        <v>51940000</v>
      </c>
      <c r="O39" s="26">
        <v>51940000</v>
      </c>
      <c r="P39" s="3">
        <v>51940000</v>
      </c>
      <c r="Q39" s="3">
        <v>51000000</v>
      </c>
      <c r="R39" s="29">
        <v>51000000</v>
      </c>
      <c r="S39" s="26">
        <v>51000000</v>
      </c>
      <c r="T39" s="3">
        <v>51000000</v>
      </c>
      <c r="U39" s="12">
        <v>51000000</v>
      </c>
      <c r="V39" s="29">
        <v>46000000</v>
      </c>
      <c r="W39" s="26">
        <v>46000000</v>
      </c>
      <c r="X39" s="3">
        <v>46000000</v>
      </c>
      <c r="Y39" s="3">
        <v>46000000</v>
      </c>
      <c r="AA39" s="19" t="s">
        <v>27</v>
      </c>
      <c r="AB39" s="162">
        <v>46000000</v>
      </c>
      <c r="AC39" s="162">
        <v>46000000</v>
      </c>
      <c r="AD39" s="162">
        <v>46000000</v>
      </c>
      <c r="AE39" s="162">
        <v>46000000</v>
      </c>
      <c r="AF39" s="162">
        <v>48528223</v>
      </c>
      <c r="AG39" s="162">
        <v>48528223</v>
      </c>
      <c r="AH39" s="162">
        <v>49453223</v>
      </c>
      <c r="AI39" s="162">
        <v>49453223</v>
      </c>
      <c r="AJ39" s="162">
        <v>46000000</v>
      </c>
      <c r="AK39" s="162">
        <v>46000000</v>
      </c>
      <c r="AL39" s="162">
        <v>46000000</v>
      </c>
      <c r="AM39" s="162">
        <v>46000000</v>
      </c>
      <c r="AN39" s="162">
        <v>7166</v>
      </c>
    </row>
    <row r="40" spans="2:40" ht="13.5" customHeight="1" x14ac:dyDescent="0.35">
      <c r="B40" s="19" t="s">
        <v>30</v>
      </c>
      <c r="C40" s="26">
        <f>C11+C13+C14</f>
        <v>674292.91000000015</v>
      </c>
      <c r="D40" s="5">
        <f t="shared" ref="D40:N40" si="43">D11+D13+D14</f>
        <v>759602.92</v>
      </c>
      <c r="E40" s="3">
        <f t="shared" si="43"/>
        <v>679392.91000000015</v>
      </c>
      <c r="F40" s="33">
        <f t="shared" si="43"/>
        <v>1161696.24</v>
      </c>
      <c r="G40" s="32">
        <f t="shared" si="43"/>
        <v>661392.23999999976</v>
      </c>
      <c r="H40" s="5">
        <f t="shared" si="43"/>
        <v>1123045.4399999997</v>
      </c>
      <c r="I40" s="3">
        <f t="shared" si="43"/>
        <v>1114450.4299999997</v>
      </c>
      <c r="J40" s="29">
        <f t="shared" si="43"/>
        <v>1103618.3399999996</v>
      </c>
      <c r="K40" s="32">
        <f t="shared" si="43"/>
        <v>1276614.31</v>
      </c>
      <c r="L40" s="5">
        <f t="shared" si="43"/>
        <v>1357070</v>
      </c>
      <c r="M40" s="3">
        <f t="shared" si="43"/>
        <v>1410378</v>
      </c>
      <c r="N40" s="33">
        <f t="shared" si="43"/>
        <v>1063315</v>
      </c>
      <c r="O40" s="32">
        <v>1166000</v>
      </c>
      <c r="P40" s="5">
        <v>587000</v>
      </c>
      <c r="Q40" s="3">
        <v>619000</v>
      </c>
      <c r="R40" s="33">
        <v>783521</v>
      </c>
      <c r="S40" s="32">
        <v>784620</v>
      </c>
      <c r="T40" s="5">
        <v>797160</v>
      </c>
      <c r="U40" s="13">
        <v>748453</v>
      </c>
      <c r="V40" s="33">
        <v>774976</v>
      </c>
      <c r="W40" s="32">
        <v>802306</v>
      </c>
      <c r="X40" s="5">
        <v>774524</v>
      </c>
      <c r="Y40" s="5">
        <v>806524</v>
      </c>
      <c r="AA40" s="267" t="s">
        <v>29</v>
      </c>
      <c r="AB40" s="162"/>
      <c r="AC40" s="162"/>
      <c r="AD40" s="162"/>
      <c r="AE40" s="162">
        <v>1014254</v>
      </c>
      <c r="AF40" s="162">
        <v>2583066</v>
      </c>
      <c r="AG40" s="162">
        <v>3323935</v>
      </c>
      <c r="AH40" s="162">
        <v>4168302</v>
      </c>
      <c r="AI40" s="162">
        <v>3414160</v>
      </c>
      <c r="AJ40" s="162">
        <v>4575147</v>
      </c>
      <c r="AK40" s="162">
        <v>2358045</v>
      </c>
      <c r="AL40" s="162">
        <v>1901903</v>
      </c>
      <c r="AM40" s="162">
        <v>784157</v>
      </c>
      <c r="AN40" s="162">
        <v>552085</v>
      </c>
    </row>
    <row r="41" spans="2:40" ht="13.5" customHeight="1" x14ac:dyDescent="0.35">
      <c r="B41" s="135"/>
      <c r="C41" s="131"/>
      <c r="D41" s="273"/>
      <c r="E41" s="129"/>
      <c r="F41" s="274"/>
      <c r="G41" s="275"/>
      <c r="H41" s="273"/>
      <c r="I41" s="129"/>
      <c r="J41" s="130"/>
      <c r="K41" s="275"/>
      <c r="L41" s="273"/>
      <c r="M41" s="129"/>
      <c r="N41" s="274"/>
      <c r="O41" s="275"/>
      <c r="P41" s="273"/>
      <c r="Q41" s="129"/>
      <c r="R41" s="274"/>
      <c r="S41" s="275"/>
      <c r="T41" s="273"/>
      <c r="U41" s="276"/>
      <c r="V41" s="274"/>
      <c r="W41" s="275"/>
      <c r="X41" s="273"/>
      <c r="Y41" s="273"/>
      <c r="AA41" s="277" t="s">
        <v>28</v>
      </c>
      <c r="AB41" s="162"/>
      <c r="AC41" s="162"/>
      <c r="AD41" s="162"/>
      <c r="AE41" s="162"/>
      <c r="AF41" s="162"/>
      <c r="AG41" s="162"/>
      <c r="AH41" s="162"/>
      <c r="AI41" s="162"/>
      <c r="AJ41" s="162"/>
      <c r="AK41" s="162"/>
      <c r="AL41" s="162"/>
      <c r="AM41" s="162"/>
      <c r="AN41" s="162">
        <v>1006917</v>
      </c>
    </row>
    <row r="42" spans="2:40" s="75" customFormat="1" ht="13.5" customHeight="1" thickBot="1" x14ac:dyDescent="0.4">
      <c r="B42" s="146" t="s">
        <v>31</v>
      </c>
      <c r="C42" s="147">
        <f>C15</f>
        <v>19426251.287640594</v>
      </c>
      <c r="D42" s="111">
        <f t="shared" ref="D42:N42" si="44">D15</f>
        <v>18431663.237640593</v>
      </c>
      <c r="E42" s="111">
        <f t="shared" si="44"/>
        <v>19935762.227640651</v>
      </c>
      <c r="F42" s="148">
        <f t="shared" si="44"/>
        <v>21516792.497639872</v>
      </c>
      <c r="G42" s="149">
        <f t="shared" si="44"/>
        <v>23532474.597650532</v>
      </c>
      <c r="H42" s="111">
        <f t="shared" si="44"/>
        <v>24149789.317649867</v>
      </c>
      <c r="I42" s="111">
        <f t="shared" si="44"/>
        <v>23708813.847649798</v>
      </c>
      <c r="J42" s="148">
        <f t="shared" si="44"/>
        <v>27936317.727650713</v>
      </c>
      <c r="K42" s="149">
        <f t="shared" si="44"/>
        <v>29449204.690000001</v>
      </c>
      <c r="L42" s="111">
        <f t="shared" si="44"/>
        <v>29567095.559999999</v>
      </c>
      <c r="M42" s="111">
        <f t="shared" si="44"/>
        <v>35464918.93</v>
      </c>
      <c r="N42" s="148">
        <f t="shared" si="44"/>
        <v>39700027</v>
      </c>
      <c r="O42" s="149">
        <v>33515000</v>
      </c>
      <c r="P42" s="111">
        <v>36190000</v>
      </c>
      <c r="Q42" s="111">
        <v>30755000</v>
      </c>
      <c r="R42" s="148">
        <v>29158099</v>
      </c>
      <c r="S42" s="149">
        <v>32047031</v>
      </c>
      <c r="T42" s="111">
        <v>39757923</v>
      </c>
      <c r="U42" s="150">
        <v>48568161</v>
      </c>
      <c r="V42" s="148">
        <v>35920444</v>
      </c>
      <c r="W42" s="149">
        <v>35816620</v>
      </c>
      <c r="X42" s="111">
        <v>30202685</v>
      </c>
      <c r="Y42" s="111">
        <v>27262934</v>
      </c>
      <c r="AA42" s="19" t="s">
        <v>30</v>
      </c>
      <c r="AB42" s="162">
        <v>774976</v>
      </c>
      <c r="AC42" s="174">
        <v>1368738</v>
      </c>
      <c r="AD42" s="174">
        <v>2333278</v>
      </c>
      <c r="AE42" s="174">
        <v>2337861</v>
      </c>
      <c r="AF42" s="174">
        <v>2352832</v>
      </c>
      <c r="AG42" s="174">
        <v>2291116</v>
      </c>
      <c r="AH42" s="174">
        <v>2331649</v>
      </c>
      <c r="AI42" s="174">
        <v>2295919</v>
      </c>
      <c r="AJ42" s="174">
        <v>4505584.51</v>
      </c>
      <c r="AK42" s="174">
        <v>3900938.87</v>
      </c>
      <c r="AL42" s="174">
        <v>3763631</v>
      </c>
      <c r="AM42" s="162">
        <v>3814246</v>
      </c>
      <c r="AN42" s="162">
        <v>10036511</v>
      </c>
    </row>
    <row r="43" spans="2:40" s="75" customFormat="1" ht="13.5" customHeight="1" thickBot="1" x14ac:dyDescent="0.4">
      <c r="B43" s="108" t="s">
        <v>38</v>
      </c>
      <c r="C43" s="134">
        <f>C35+C42</f>
        <v>180707341.18764237</v>
      </c>
      <c r="D43" s="132">
        <f t="shared" ref="D43:Y43" si="45">D35+D42</f>
        <v>180566499.31764233</v>
      </c>
      <c r="E43" s="132">
        <f t="shared" si="45"/>
        <v>187564698.27764243</v>
      </c>
      <c r="F43" s="133">
        <f t="shared" si="45"/>
        <v>193278439.85764176</v>
      </c>
      <c r="G43" s="134">
        <f t="shared" si="45"/>
        <v>193485289.37765321</v>
      </c>
      <c r="H43" s="132">
        <f t="shared" si="45"/>
        <v>193594059.94765255</v>
      </c>
      <c r="I43" s="132">
        <f t="shared" si="45"/>
        <v>195437297.27764982</v>
      </c>
      <c r="J43" s="133">
        <f t="shared" si="45"/>
        <v>201536037.33765379</v>
      </c>
      <c r="K43" s="134">
        <f t="shared" si="45"/>
        <v>201529760</v>
      </c>
      <c r="L43" s="132">
        <f t="shared" si="45"/>
        <v>201072060.56</v>
      </c>
      <c r="M43" s="132">
        <f t="shared" si="45"/>
        <v>207521057.93000001</v>
      </c>
      <c r="N43" s="133">
        <f t="shared" si="45"/>
        <v>223327159</v>
      </c>
      <c r="O43" s="134">
        <f t="shared" si="45"/>
        <v>218080000</v>
      </c>
      <c r="P43" s="132">
        <f t="shared" si="45"/>
        <v>220179000</v>
      </c>
      <c r="Q43" s="132">
        <f t="shared" si="45"/>
        <v>212336000</v>
      </c>
      <c r="R43" s="133">
        <f t="shared" si="45"/>
        <v>211123165</v>
      </c>
      <c r="S43" s="134">
        <f t="shared" si="45"/>
        <v>212612573.46000001</v>
      </c>
      <c r="T43" s="132">
        <f t="shared" si="45"/>
        <v>215634008.56</v>
      </c>
      <c r="U43" s="151">
        <f t="shared" si="45"/>
        <v>221569552</v>
      </c>
      <c r="V43" s="133">
        <f t="shared" si="45"/>
        <v>203557119</v>
      </c>
      <c r="W43" s="134">
        <f t="shared" si="45"/>
        <v>202244312</v>
      </c>
      <c r="X43" s="132">
        <f t="shared" si="45"/>
        <v>199934617</v>
      </c>
      <c r="Y43" s="132">
        <f t="shared" si="45"/>
        <v>204448997</v>
      </c>
      <c r="AA43" s="146" t="s">
        <v>31</v>
      </c>
      <c r="AB43" s="178">
        <v>35920444</v>
      </c>
      <c r="AC43" s="163">
        <v>89688858</v>
      </c>
      <c r="AD43" s="163">
        <v>77363391</v>
      </c>
      <c r="AE43" s="163">
        <v>55791776</v>
      </c>
      <c r="AF43" s="163">
        <v>43180197</v>
      </c>
      <c r="AG43" s="163">
        <v>36815825</v>
      </c>
      <c r="AH43" s="163">
        <v>32606728</v>
      </c>
      <c r="AI43" s="163">
        <v>42628328</v>
      </c>
      <c r="AJ43" s="163">
        <v>38178818.489999995</v>
      </c>
      <c r="AK43" s="163">
        <v>58418264</v>
      </c>
      <c r="AL43" s="163">
        <v>56821092</v>
      </c>
      <c r="AM43" s="163">
        <v>59382695.26666455</v>
      </c>
      <c r="AN43" s="163">
        <v>68513341</v>
      </c>
    </row>
    <row r="44" spans="2:40" ht="15" thickBot="1" x14ac:dyDescent="0.4">
      <c r="AA44" s="108" t="s">
        <v>38</v>
      </c>
      <c r="AB44" s="134">
        <f t="shared" ref="AB44:AI44" si="46">AB35+AB43</f>
        <v>203557119</v>
      </c>
      <c r="AC44" s="132">
        <f t="shared" si="46"/>
        <v>274501065</v>
      </c>
      <c r="AD44" s="132">
        <f t="shared" si="46"/>
        <v>268877577.81999999</v>
      </c>
      <c r="AE44" s="132">
        <f t="shared" si="46"/>
        <v>254459316</v>
      </c>
      <c r="AF44" s="132">
        <f t="shared" si="46"/>
        <v>250477955</v>
      </c>
      <c r="AG44" s="132">
        <f t="shared" si="46"/>
        <v>251572981</v>
      </c>
      <c r="AH44" s="132">
        <f t="shared" si="46"/>
        <v>252783218</v>
      </c>
      <c r="AI44" s="132">
        <f t="shared" si="46"/>
        <v>263490477</v>
      </c>
      <c r="AJ44" s="132">
        <f t="shared" ref="AJ44:AK44" si="47">AJ35+AJ43</f>
        <v>255862659.25003189</v>
      </c>
      <c r="AK44" s="132">
        <f t="shared" si="47"/>
        <v>277394616.81003189</v>
      </c>
      <c r="AL44" s="132">
        <f t="shared" ref="AL44:AM44" si="48">AL35+AL43</f>
        <v>285440541.36000001</v>
      </c>
      <c r="AM44" s="132">
        <f t="shared" si="48"/>
        <v>286087757.10671127</v>
      </c>
      <c r="AN44" s="132">
        <f t="shared" ref="AN44" si="49">AN35+AN43</f>
        <v>264242606.50999999</v>
      </c>
    </row>
  </sheetData>
  <mergeCells count="12">
    <mergeCell ref="W3:Y3"/>
    <mergeCell ref="C32:F32"/>
    <mergeCell ref="G32:J32"/>
    <mergeCell ref="K32:N32"/>
    <mergeCell ref="O32:R32"/>
    <mergeCell ref="S32:V32"/>
    <mergeCell ref="W32:Y32"/>
    <mergeCell ref="C3:F3"/>
    <mergeCell ref="G3:J3"/>
    <mergeCell ref="K3:N3"/>
    <mergeCell ref="O3:R3"/>
    <mergeCell ref="S3:V3"/>
  </mergeCells>
  <pageMargins left="0.19685039370078741" right="0.19685039370078741" top="0.59055118110236227" bottom="0.59055118110236227" header="0" footer="0"/>
  <pageSetup paperSize="9" scale="5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N71"/>
  <sheetViews>
    <sheetView topLeftCell="AA47" zoomScale="90" zoomScaleNormal="90" workbookViewId="0">
      <selection activeCell="Z67" sqref="A67:XFD67"/>
    </sheetView>
  </sheetViews>
  <sheetFormatPr defaultRowHeight="14.5" x14ac:dyDescent="0.35"/>
  <cols>
    <col min="1" max="1" width="1.81640625" customWidth="1"/>
    <col min="2" max="2" width="47.81640625" customWidth="1"/>
    <col min="27" max="27" width="60.81640625" customWidth="1"/>
    <col min="28" max="33" width="9.6328125" customWidth="1"/>
    <col min="34" max="35" width="9.6328125" style="14" customWidth="1"/>
    <col min="36" max="36" width="9.6328125" customWidth="1"/>
    <col min="37" max="37" width="9.26953125" customWidth="1"/>
  </cols>
  <sheetData>
    <row r="1" spans="2:40" ht="21" x14ac:dyDescent="0.5">
      <c r="B1" s="97" t="s">
        <v>39</v>
      </c>
    </row>
    <row r="2" spans="2:40" ht="15" thickBot="1" x14ac:dyDescent="0.4">
      <c r="B2" s="39" t="s">
        <v>160</v>
      </c>
    </row>
    <row r="3" spans="2:40" x14ac:dyDescent="0.35">
      <c r="C3" s="285">
        <v>2016</v>
      </c>
      <c r="D3" s="286"/>
      <c r="E3" s="286"/>
      <c r="F3" s="287"/>
      <c r="G3" s="285">
        <v>2017</v>
      </c>
      <c r="H3" s="286"/>
      <c r="I3" s="286"/>
      <c r="J3" s="287"/>
      <c r="K3" s="285">
        <v>2018</v>
      </c>
      <c r="L3" s="286"/>
      <c r="M3" s="286"/>
      <c r="N3" s="287"/>
      <c r="O3" s="279">
        <v>2019</v>
      </c>
      <c r="P3" s="280"/>
      <c r="Q3" s="280"/>
      <c r="R3" s="284"/>
      <c r="S3" s="279">
        <v>2020</v>
      </c>
      <c r="T3" s="280"/>
      <c r="U3" s="280"/>
      <c r="V3" s="284"/>
      <c r="W3" s="279">
        <v>2021</v>
      </c>
      <c r="X3" s="280"/>
      <c r="Y3" s="280"/>
      <c r="AB3" s="205">
        <v>2020</v>
      </c>
      <c r="AC3" s="206" t="s">
        <v>180</v>
      </c>
      <c r="AD3" s="206">
        <v>2022</v>
      </c>
      <c r="AE3" s="206">
        <v>2022</v>
      </c>
      <c r="AF3" s="206">
        <v>2022</v>
      </c>
      <c r="AG3" s="206">
        <v>2022</v>
      </c>
      <c r="AH3" s="206">
        <v>2023</v>
      </c>
      <c r="AI3" s="206">
        <v>2023</v>
      </c>
      <c r="AJ3" s="206">
        <v>2023</v>
      </c>
      <c r="AK3" s="206">
        <v>2023</v>
      </c>
      <c r="AL3" s="206">
        <v>2024</v>
      </c>
      <c r="AM3" s="206">
        <v>2024</v>
      </c>
      <c r="AN3" s="206">
        <v>2024</v>
      </c>
    </row>
    <row r="4" spans="2:40" ht="14.25" customHeight="1" x14ac:dyDescent="0.35">
      <c r="B4" t="s">
        <v>158</v>
      </c>
      <c r="C4" s="48" t="s">
        <v>115</v>
      </c>
      <c r="D4" s="16" t="s">
        <v>116</v>
      </c>
      <c r="E4" s="16" t="s">
        <v>117</v>
      </c>
      <c r="F4" s="49" t="s">
        <v>118</v>
      </c>
      <c r="G4" s="48" t="s">
        <v>115</v>
      </c>
      <c r="H4" s="16" t="s">
        <v>116</v>
      </c>
      <c r="I4" s="16" t="s">
        <v>117</v>
      </c>
      <c r="J4" s="49" t="s">
        <v>118</v>
      </c>
      <c r="K4" s="48" t="s">
        <v>115</v>
      </c>
      <c r="L4" s="16" t="s">
        <v>116</v>
      </c>
      <c r="M4" s="16" t="s">
        <v>117</v>
      </c>
      <c r="N4" s="49" t="s">
        <v>118</v>
      </c>
      <c r="O4" s="57" t="s">
        <v>115</v>
      </c>
      <c r="P4" s="58" t="s">
        <v>116</v>
      </c>
      <c r="Q4" s="58" t="s">
        <v>117</v>
      </c>
      <c r="R4" s="59" t="s">
        <v>118</v>
      </c>
      <c r="S4" s="57" t="s">
        <v>115</v>
      </c>
      <c r="T4" s="58" t="s">
        <v>116</v>
      </c>
      <c r="U4" s="58" t="s">
        <v>117</v>
      </c>
      <c r="V4" s="59" t="s">
        <v>118</v>
      </c>
      <c r="W4" s="57" t="s">
        <v>115</v>
      </c>
      <c r="X4" s="58" t="s">
        <v>116</v>
      </c>
      <c r="Y4" s="58" t="s">
        <v>117</v>
      </c>
      <c r="AA4" t="s">
        <v>158</v>
      </c>
      <c r="AB4" s="207" t="s">
        <v>118</v>
      </c>
      <c r="AC4" s="208" t="s">
        <v>118</v>
      </c>
      <c r="AD4" s="208" t="s">
        <v>115</v>
      </c>
      <c r="AE4" s="208" t="s">
        <v>116</v>
      </c>
      <c r="AF4" s="208" t="s">
        <v>117</v>
      </c>
      <c r="AG4" s="208" t="s">
        <v>118</v>
      </c>
      <c r="AH4" s="208" t="s">
        <v>115</v>
      </c>
      <c r="AI4" s="208" t="s">
        <v>116</v>
      </c>
      <c r="AJ4" s="208" t="s">
        <v>117</v>
      </c>
      <c r="AK4" s="208" t="s">
        <v>118</v>
      </c>
      <c r="AL4" s="208" t="s">
        <v>115</v>
      </c>
      <c r="AM4" s="208" t="s">
        <v>116</v>
      </c>
      <c r="AN4" s="208" t="s">
        <v>117</v>
      </c>
    </row>
    <row r="5" spans="2:40" ht="29.25" customHeight="1" x14ac:dyDescent="0.35">
      <c r="B5" s="76" t="s">
        <v>177</v>
      </c>
      <c r="C5" s="22" t="s">
        <v>129</v>
      </c>
      <c r="D5" s="1" t="s">
        <v>139</v>
      </c>
      <c r="E5" s="1" t="s">
        <v>148</v>
      </c>
      <c r="F5" s="23" t="s">
        <v>128</v>
      </c>
      <c r="G5" s="22" t="s">
        <v>126</v>
      </c>
      <c r="H5" s="1" t="s">
        <v>137</v>
      </c>
      <c r="I5" s="1" t="s">
        <v>147</v>
      </c>
      <c r="J5" s="23" t="s">
        <v>125</v>
      </c>
      <c r="K5" s="22" t="s">
        <v>124</v>
      </c>
      <c r="L5" s="1" t="s">
        <v>135</v>
      </c>
      <c r="M5" s="1" t="s">
        <v>145</v>
      </c>
      <c r="N5" s="23" t="s">
        <v>123</v>
      </c>
      <c r="O5" s="77" t="s">
        <v>121</v>
      </c>
      <c r="P5" s="62" t="s">
        <v>133</v>
      </c>
      <c r="Q5" s="62" t="s">
        <v>154</v>
      </c>
      <c r="R5" s="78" t="s">
        <v>120</v>
      </c>
      <c r="S5" s="77" t="s">
        <v>114</v>
      </c>
      <c r="T5" s="62" t="s">
        <v>132</v>
      </c>
      <c r="U5" s="62" t="s">
        <v>142</v>
      </c>
      <c r="V5" s="78" t="s">
        <v>113</v>
      </c>
      <c r="W5" s="77" t="s">
        <v>112</v>
      </c>
      <c r="X5" s="62" t="s">
        <v>162</v>
      </c>
      <c r="Y5" s="62" t="s">
        <v>165</v>
      </c>
      <c r="AA5" s="76" t="s">
        <v>177</v>
      </c>
      <c r="AB5" s="209" t="s">
        <v>113</v>
      </c>
      <c r="AC5" s="210" t="s">
        <v>164</v>
      </c>
      <c r="AD5" s="210" t="s">
        <v>195</v>
      </c>
      <c r="AE5" s="210" t="s">
        <v>199</v>
      </c>
      <c r="AF5" s="210" t="s">
        <v>200</v>
      </c>
      <c r="AG5" s="210" t="s">
        <v>205</v>
      </c>
      <c r="AH5" s="210" t="s">
        <v>206</v>
      </c>
      <c r="AI5" s="210" t="s">
        <v>208</v>
      </c>
      <c r="AJ5" s="210" t="s">
        <v>210</v>
      </c>
      <c r="AK5" s="210" t="s">
        <v>212</v>
      </c>
      <c r="AL5" s="210" t="s">
        <v>216</v>
      </c>
      <c r="AM5" s="210" t="s">
        <v>219</v>
      </c>
      <c r="AN5" s="210" t="s">
        <v>222</v>
      </c>
    </row>
    <row r="6" spans="2:40" ht="14.25" customHeight="1" x14ac:dyDescent="0.35">
      <c r="B6" s="9" t="s">
        <v>40</v>
      </c>
      <c r="C6" s="24">
        <f>SUM(C7:C12)</f>
        <v>106803875.86999984</v>
      </c>
      <c r="D6" s="2">
        <f t="shared" ref="D6:G6" si="0">SUM(D7:D12)</f>
        <v>108418829.39999999</v>
      </c>
      <c r="E6" s="2">
        <f t="shared" si="0"/>
        <v>111842801.78000174</v>
      </c>
      <c r="F6" s="25">
        <f t="shared" si="0"/>
        <v>111428755.09000205</v>
      </c>
      <c r="G6" s="24">
        <f t="shared" si="0"/>
        <v>112051421.28000201</v>
      </c>
      <c r="H6" s="2">
        <f t="shared" ref="H6" si="1">SUM(H7:H12)</f>
        <v>113828229.07000205</v>
      </c>
      <c r="I6" s="2">
        <f t="shared" ref="I6" si="2">SUM(I7:I12)</f>
        <v>115037840.63000001</v>
      </c>
      <c r="J6" s="25">
        <f t="shared" ref="J6:K6" si="3">SUM(J7:J12)</f>
        <v>110295528.95999987</v>
      </c>
      <c r="K6" s="24">
        <f t="shared" si="3"/>
        <v>110717510.26000202</v>
      </c>
      <c r="L6" s="2">
        <f t="shared" ref="L6" si="4">SUM(L7:L12)</f>
        <v>108494925.83999786</v>
      </c>
      <c r="M6" s="2">
        <f t="shared" ref="M6" si="5">SUM(M7:M12)</f>
        <v>107600911</v>
      </c>
      <c r="N6" s="25">
        <f t="shared" ref="N6:O6" si="6">SUM(N7:N12)</f>
        <v>108035901.14</v>
      </c>
      <c r="O6" s="64">
        <f t="shared" si="6"/>
        <v>104691347.14</v>
      </c>
      <c r="P6" s="65">
        <f t="shared" ref="P6" si="7">SUM(P7:P12)</f>
        <v>103733211.14</v>
      </c>
      <c r="Q6" s="65">
        <f t="shared" ref="Q6" si="8">SUM(Q7:Q12)</f>
        <v>99672909</v>
      </c>
      <c r="R6" s="66">
        <f t="shared" ref="R6:S6" si="9">SUM(R7:R12)</f>
        <v>105163439.76000041</v>
      </c>
      <c r="S6" s="64">
        <f t="shared" si="9"/>
        <v>95128854.760000408</v>
      </c>
      <c r="T6" s="65">
        <f t="shared" ref="T6" si="10">SUM(T7:T12)</f>
        <v>103189647.76000041</v>
      </c>
      <c r="U6" s="65">
        <f t="shared" ref="U6" si="11">SUM(U7:U12)</f>
        <v>104027443</v>
      </c>
      <c r="V6" s="66">
        <f t="shared" ref="V6:W6" si="12">SUM(V7:V12)</f>
        <v>98006315.760000408</v>
      </c>
      <c r="W6" s="64">
        <f t="shared" si="12"/>
        <v>96397538.800000414</v>
      </c>
      <c r="X6" s="65">
        <f t="shared" ref="X6" si="13">SUM(X7:X12)</f>
        <v>97959710.800000414</v>
      </c>
      <c r="Y6" s="65">
        <f t="shared" ref="Y6" si="14">SUM(Y7:Y12)</f>
        <v>96784249</v>
      </c>
      <c r="AA6" s="180" t="s">
        <v>40</v>
      </c>
      <c r="AB6" s="211">
        <f>SUM(AB7:AB10)</f>
        <v>98006317.080001712</v>
      </c>
      <c r="AC6" s="211">
        <f t="shared" ref="AC6:AE6" si="15">SUM(AC7:AC10)</f>
        <v>175502981.92000172</v>
      </c>
      <c r="AD6" s="211">
        <f t="shared" si="15"/>
        <v>168486147.98000002</v>
      </c>
      <c r="AE6" s="211">
        <f t="shared" si="15"/>
        <v>156345693.98000002</v>
      </c>
      <c r="AF6" s="211">
        <f t="shared" ref="AF6:AG6" si="16">SUM(AF7:AF10)</f>
        <v>145466657.98000002</v>
      </c>
      <c r="AG6" s="211">
        <f t="shared" si="16"/>
        <v>150255881.02903914</v>
      </c>
      <c r="AH6" s="211">
        <f t="shared" ref="AH6:AI6" si="17">SUM(AH7:AH10)</f>
        <v>143391309.98000002</v>
      </c>
      <c r="AI6" s="211">
        <f t="shared" si="17"/>
        <v>154604404.98000002</v>
      </c>
      <c r="AJ6" s="211">
        <f t="shared" ref="AJ6:AK6" si="18">SUM(AJ7:AJ10)</f>
        <v>150254452.98000002</v>
      </c>
      <c r="AK6" s="211">
        <f t="shared" si="18"/>
        <v>158103618.75999603</v>
      </c>
      <c r="AL6" s="211">
        <f t="shared" ref="AL6:AM6" si="19">SUM(AL7:AL10)</f>
        <v>159459153.60000041</v>
      </c>
      <c r="AM6" s="211">
        <f t="shared" si="19"/>
        <v>160482198.10000199</v>
      </c>
      <c r="AN6" s="211">
        <f t="shared" ref="AN6" si="20">SUM(AN7:AN10)</f>
        <v>173280635</v>
      </c>
    </row>
    <row r="7" spans="2:40" ht="14.25" customHeight="1" x14ac:dyDescent="0.35">
      <c r="B7" s="19" t="s">
        <v>41</v>
      </c>
      <c r="C7" s="32">
        <v>23566900</v>
      </c>
      <c r="D7" s="5">
        <v>23566900</v>
      </c>
      <c r="E7" s="5">
        <v>23566900</v>
      </c>
      <c r="F7" s="33">
        <v>23566900</v>
      </c>
      <c r="G7" s="32">
        <v>23566900</v>
      </c>
      <c r="H7" s="5">
        <v>23566900</v>
      </c>
      <c r="I7" s="5">
        <v>23566900</v>
      </c>
      <c r="J7" s="33">
        <v>23566900</v>
      </c>
      <c r="K7" s="32">
        <v>23566900</v>
      </c>
      <c r="L7" s="5">
        <v>23566900</v>
      </c>
      <c r="M7" s="5">
        <v>23566900</v>
      </c>
      <c r="N7" s="33">
        <v>23566900</v>
      </c>
      <c r="O7" s="67">
        <v>23566900</v>
      </c>
      <c r="P7" s="68">
        <v>23566900</v>
      </c>
      <c r="Q7" s="68">
        <v>23566900</v>
      </c>
      <c r="R7" s="69">
        <v>23566900</v>
      </c>
      <c r="S7" s="67">
        <v>23566900</v>
      </c>
      <c r="T7" s="68">
        <v>23566900</v>
      </c>
      <c r="U7" s="68">
        <v>23566900</v>
      </c>
      <c r="V7" s="69">
        <v>23566900</v>
      </c>
      <c r="W7" s="67">
        <v>23566900</v>
      </c>
      <c r="X7" s="68">
        <v>23566900</v>
      </c>
      <c r="Y7" s="68">
        <v>23566900</v>
      </c>
      <c r="AA7" s="7" t="s">
        <v>41</v>
      </c>
      <c r="AB7" s="212">
        <v>23566900</v>
      </c>
      <c r="AC7" s="212">
        <v>28280279</v>
      </c>
      <c r="AD7" s="212">
        <v>28280279</v>
      </c>
      <c r="AE7" s="212">
        <v>28280279</v>
      </c>
      <c r="AF7" s="212">
        <v>28280279</v>
      </c>
      <c r="AG7" s="212">
        <v>28280279</v>
      </c>
      <c r="AH7" s="212">
        <v>28280279</v>
      </c>
      <c r="AI7" s="212">
        <v>28280279</v>
      </c>
      <c r="AJ7" s="212">
        <v>28280279</v>
      </c>
      <c r="AK7" s="212">
        <v>28280279</v>
      </c>
      <c r="AL7" s="212">
        <v>28280279</v>
      </c>
      <c r="AM7" s="212">
        <v>28280279</v>
      </c>
      <c r="AN7" s="212">
        <v>28280279</v>
      </c>
    </row>
    <row r="8" spans="2:40" ht="14.25" customHeight="1" x14ac:dyDescent="0.35">
      <c r="B8" s="19" t="s">
        <v>42</v>
      </c>
      <c r="C8" s="32">
        <v>24885938.140000001</v>
      </c>
      <c r="D8" s="5">
        <v>24885938.140000001</v>
      </c>
      <c r="E8" s="5">
        <v>26409054.960000001</v>
      </c>
      <c r="F8" s="33">
        <v>24885938.140000001</v>
      </c>
      <c r="G8" s="32">
        <v>24885938.140000001</v>
      </c>
      <c r="H8" s="5">
        <v>24885938.140000001</v>
      </c>
      <c r="I8" s="5">
        <v>24885938</v>
      </c>
      <c r="J8" s="33">
        <v>24885938.140000001</v>
      </c>
      <c r="K8" s="32">
        <v>24885938.140000001</v>
      </c>
      <c r="L8" s="5">
        <v>24885938.140000001</v>
      </c>
      <c r="M8" s="5">
        <v>24885938</v>
      </c>
      <c r="N8" s="33">
        <v>24885938.140000001</v>
      </c>
      <c r="O8" s="67">
        <v>24885938.140000001</v>
      </c>
      <c r="P8" s="68">
        <v>24885938.140000001</v>
      </c>
      <c r="Q8" s="68">
        <v>24885938</v>
      </c>
      <c r="R8" s="69">
        <v>24885938.140000001</v>
      </c>
      <c r="S8" s="67">
        <v>24885938.140000001</v>
      </c>
      <c r="T8" s="68">
        <v>24885938.140000001</v>
      </c>
      <c r="U8" s="68">
        <v>24885938</v>
      </c>
      <c r="V8" s="69">
        <v>24885938.140000001</v>
      </c>
      <c r="W8" s="67">
        <v>24885938.140000001</v>
      </c>
      <c r="X8" s="68">
        <v>24885938.140000001</v>
      </c>
      <c r="Y8" s="68">
        <v>24885938</v>
      </c>
      <c r="AA8" s="7" t="s">
        <v>185</v>
      </c>
      <c r="AB8" s="212">
        <v>24885938.140000001</v>
      </c>
      <c r="AC8" s="212">
        <v>98915318.980000004</v>
      </c>
      <c r="AD8" s="212">
        <v>98915318.980000004</v>
      </c>
      <c r="AE8" s="212">
        <v>98915318.980000004</v>
      </c>
      <c r="AF8" s="212">
        <v>98915318.980000004</v>
      </c>
      <c r="AG8" s="212">
        <v>98915318.980000004</v>
      </c>
      <c r="AH8" s="212">
        <v>98915318.980000004</v>
      </c>
      <c r="AI8" s="212">
        <v>98915318.980000004</v>
      </c>
      <c r="AJ8" s="212">
        <v>98915318.980000004</v>
      </c>
      <c r="AK8" s="212">
        <v>98915318.980000004</v>
      </c>
      <c r="AL8" s="212">
        <v>98915318.980000004</v>
      </c>
      <c r="AM8" s="212">
        <v>98915318.980000004</v>
      </c>
      <c r="AN8" s="212">
        <v>98915319</v>
      </c>
    </row>
    <row r="9" spans="2:40" ht="14.25" customHeight="1" x14ac:dyDescent="0.35">
      <c r="B9" s="19" t="s">
        <v>43</v>
      </c>
      <c r="C9" s="26">
        <v>0</v>
      </c>
      <c r="D9" s="3"/>
      <c r="E9" s="3"/>
      <c r="F9" s="29"/>
      <c r="G9" s="26"/>
      <c r="H9" s="3"/>
      <c r="I9" s="3"/>
      <c r="J9" s="29"/>
      <c r="K9" s="26"/>
      <c r="L9" s="3"/>
      <c r="M9" s="3"/>
      <c r="N9" s="29"/>
      <c r="O9" s="72"/>
      <c r="P9" s="71"/>
      <c r="Q9" s="71"/>
      <c r="R9" s="73"/>
      <c r="S9" s="72"/>
      <c r="T9" s="71"/>
      <c r="U9" s="71"/>
      <c r="V9" s="73"/>
      <c r="W9" s="72"/>
      <c r="X9" s="71"/>
      <c r="Y9" s="71"/>
      <c r="AA9" s="7" t="s">
        <v>44</v>
      </c>
      <c r="AB9" s="213">
        <v>-2755920.8799979985</v>
      </c>
      <c r="AC9" s="213">
        <v>-2755920.8799979985</v>
      </c>
      <c r="AD9" s="213">
        <v>-2755921</v>
      </c>
      <c r="AE9" s="213">
        <v>-2755921</v>
      </c>
      <c r="AF9" s="213">
        <v>-2755921</v>
      </c>
      <c r="AG9" s="213">
        <v>-2755920.8799979985</v>
      </c>
      <c r="AH9" s="213">
        <v>-2755921</v>
      </c>
      <c r="AI9" s="213">
        <v>-2755921</v>
      </c>
      <c r="AJ9" s="213">
        <v>-2755921</v>
      </c>
      <c r="AK9" s="213">
        <v>-2836621.8799979985</v>
      </c>
      <c r="AL9" s="213">
        <v>-2836622.3799996004</v>
      </c>
      <c r="AM9" s="212">
        <v>-2836621.8799979985</v>
      </c>
      <c r="AN9" s="212">
        <v>-2667359</v>
      </c>
    </row>
    <row r="10" spans="2:40" ht="14.25" customHeight="1" x14ac:dyDescent="0.35">
      <c r="B10" s="19" t="s">
        <v>44</v>
      </c>
      <c r="C10" s="26">
        <v>44665204.799999997</v>
      </c>
      <c r="D10" s="3">
        <v>46188321.619999997</v>
      </c>
      <c r="E10" s="3">
        <v>44665204.799999997</v>
      </c>
      <c r="F10" s="29">
        <v>46188321.820000038</v>
      </c>
      <c r="G10" s="26">
        <v>46188321.820000038</v>
      </c>
      <c r="H10" s="3">
        <v>50555799.100001998</v>
      </c>
      <c r="I10" s="3">
        <v>50555798.799999997</v>
      </c>
      <c r="J10" s="29">
        <v>50555799.120002009</v>
      </c>
      <c r="K10" s="26">
        <v>50555799.120002009</v>
      </c>
      <c r="L10" s="3">
        <v>50555799</v>
      </c>
      <c r="M10" s="3">
        <v>47799880</v>
      </c>
      <c r="N10" s="29">
        <v>47799879</v>
      </c>
      <c r="O10" s="72">
        <v>47799879</v>
      </c>
      <c r="P10" s="71">
        <v>47799879</v>
      </c>
      <c r="Q10" s="71">
        <v>47799880</v>
      </c>
      <c r="R10" s="73">
        <v>47799878.6200004</v>
      </c>
      <c r="S10" s="72">
        <v>47799878.6200004</v>
      </c>
      <c r="T10" s="71">
        <v>47799878.6200004</v>
      </c>
      <c r="U10" s="71">
        <v>47799879</v>
      </c>
      <c r="V10" s="73">
        <v>47799878.6200004</v>
      </c>
      <c r="W10" s="72">
        <v>47799878.6200004</v>
      </c>
      <c r="X10" s="71">
        <v>47799878.6200004</v>
      </c>
      <c r="Y10" s="71">
        <v>47799879</v>
      </c>
      <c r="AA10" s="7" t="s">
        <v>186</v>
      </c>
      <c r="AB10" s="213">
        <v>52309399.819999702</v>
      </c>
      <c r="AC10" s="213">
        <v>51063304.819999702</v>
      </c>
      <c r="AD10" s="213">
        <v>44046471</v>
      </c>
      <c r="AE10" s="213">
        <v>31906017</v>
      </c>
      <c r="AF10" s="213">
        <v>21026981</v>
      </c>
      <c r="AG10" s="213">
        <v>25816203.929037154</v>
      </c>
      <c r="AH10" s="213">
        <v>18951633</v>
      </c>
      <c r="AI10" s="213">
        <v>30164728</v>
      </c>
      <c r="AJ10" s="213">
        <v>25814776</v>
      </c>
      <c r="AK10" s="213">
        <v>33744642.659994029</v>
      </c>
      <c r="AL10" s="213">
        <v>35100178</v>
      </c>
      <c r="AM10" s="212">
        <v>36123222</v>
      </c>
      <c r="AN10" s="212">
        <v>48752396.000000007</v>
      </c>
    </row>
    <row r="11" spans="2:40" ht="14.25" customHeight="1" x14ac:dyDescent="0.35">
      <c r="B11" s="19" t="s">
        <v>45</v>
      </c>
      <c r="C11" s="32">
        <v>13943234.65</v>
      </c>
      <c r="D11" s="5">
        <v>12420117.83</v>
      </c>
      <c r="E11" s="5">
        <v>12420117.83</v>
      </c>
      <c r="F11" s="33">
        <v>12420117.830000043</v>
      </c>
      <c r="G11" s="32">
        <v>16787595.130002014</v>
      </c>
      <c r="H11" s="5">
        <v>12420117.830000043</v>
      </c>
      <c r="I11" s="5">
        <v>12420117.83</v>
      </c>
      <c r="J11" s="33">
        <v>12420117.830000043</v>
      </c>
      <c r="K11" s="32">
        <v>11286892</v>
      </c>
      <c r="L11" s="5">
        <v>11286891.699997853</v>
      </c>
      <c r="M11" s="5">
        <v>11286892</v>
      </c>
      <c r="N11" s="33">
        <v>11286892</v>
      </c>
      <c r="O11" s="67">
        <v>11783184</v>
      </c>
      <c r="P11" s="68">
        <v>11783184</v>
      </c>
      <c r="Q11" s="68">
        <v>11783184</v>
      </c>
      <c r="R11" s="69">
        <v>11783184</v>
      </c>
      <c r="S11" s="67">
        <v>8910721</v>
      </c>
      <c r="T11" s="68">
        <v>8910721</v>
      </c>
      <c r="U11" s="68">
        <v>8910721</v>
      </c>
      <c r="V11" s="69">
        <v>8910722</v>
      </c>
      <c r="W11" s="67">
        <v>1753599.04</v>
      </c>
      <c r="X11" s="68">
        <v>1753599.04</v>
      </c>
      <c r="Y11" s="68">
        <v>1753599</v>
      </c>
      <c r="AA11" s="180" t="s">
        <v>47</v>
      </c>
      <c r="AB11" s="211">
        <f>SUM(AB12:AB16)</f>
        <v>217671998</v>
      </c>
      <c r="AC11" s="211">
        <f t="shared" ref="AC11:AE11" si="21">SUM(AC12:AC16)</f>
        <v>183398242</v>
      </c>
      <c r="AD11" s="211">
        <f t="shared" si="21"/>
        <v>195076549</v>
      </c>
      <c r="AE11" s="211">
        <f t="shared" si="21"/>
        <v>188715447</v>
      </c>
      <c r="AF11" s="211">
        <f t="shared" ref="AF11:AG11" si="22">SUM(AF12:AF16)</f>
        <v>197373889</v>
      </c>
      <c r="AG11" s="211">
        <f t="shared" si="22"/>
        <v>180512334.09275088</v>
      </c>
      <c r="AH11" s="211">
        <f t="shared" ref="AH11:AI11" si="23">SUM(AH12:AH16)</f>
        <v>209506676</v>
      </c>
      <c r="AI11" s="211">
        <f t="shared" si="23"/>
        <v>203028466</v>
      </c>
      <c r="AJ11" s="211">
        <f t="shared" ref="AJ11:AK11" si="24">SUM(AJ12:AJ16)</f>
        <v>201881682</v>
      </c>
      <c r="AK11" s="211">
        <f t="shared" si="24"/>
        <v>185040183.10999998</v>
      </c>
      <c r="AL11" s="211">
        <f t="shared" ref="AL11:AM11" si="25">SUM(AL12:AL16)</f>
        <v>194362785</v>
      </c>
      <c r="AM11" s="211">
        <f t="shared" si="25"/>
        <v>219187811.69999999</v>
      </c>
      <c r="AN11" s="211">
        <f t="shared" ref="AN11" si="26">SUM(AN12:AN16)</f>
        <v>235901428</v>
      </c>
    </row>
    <row r="12" spans="2:40" ht="14.25" customHeight="1" x14ac:dyDescent="0.35">
      <c r="B12" s="19" t="s">
        <v>46</v>
      </c>
      <c r="C12" s="26">
        <v>-257401.72000015719</v>
      </c>
      <c r="D12" s="3">
        <v>1357551.8100000024</v>
      </c>
      <c r="E12" s="3">
        <v>4781524.1900017606</v>
      </c>
      <c r="F12" s="29">
        <v>4367477.3000019696</v>
      </c>
      <c r="G12" s="26">
        <v>622666.1899999571</v>
      </c>
      <c r="H12" s="3">
        <v>2399474</v>
      </c>
      <c r="I12" s="3">
        <v>3609086.0000000093</v>
      </c>
      <c r="J12" s="29">
        <v>-1133226.1300021885</v>
      </c>
      <c r="K12" s="26">
        <v>421981</v>
      </c>
      <c r="L12" s="3">
        <v>-1800603</v>
      </c>
      <c r="M12" s="3">
        <v>61301</v>
      </c>
      <c r="N12" s="29">
        <v>496291.99999999907</v>
      </c>
      <c r="O12" s="72">
        <v>-3344554</v>
      </c>
      <c r="P12" s="71">
        <v>-4302690</v>
      </c>
      <c r="Q12" s="71">
        <v>-8362993</v>
      </c>
      <c r="R12" s="73">
        <v>-2872461</v>
      </c>
      <c r="S12" s="72">
        <v>-10034583</v>
      </c>
      <c r="T12" s="71">
        <v>-1973790</v>
      </c>
      <c r="U12" s="71">
        <v>-1135995</v>
      </c>
      <c r="V12" s="73">
        <v>-7157123</v>
      </c>
      <c r="W12" s="72">
        <v>-1608777</v>
      </c>
      <c r="X12" s="71">
        <v>-46605</v>
      </c>
      <c r="Y12" s="71">
        <v>-1222067</v>
      </c>
      <c r="AA12" s="7" t="s">
        <v>48</v>
      </c>
      <c r="AB12" s="212">
        <v>11040669</v>
      </c>
      <c r="AC12" s="212">
        <v>4128793</v>
      </c>
      <c r="AD12" s="212">
        <v>3001942</v>
      </c>
      <c r="AE12" s="212">
        <v>2158731</v>
      </c>
      <c r="AF12" s="212">
        <v>1656284</v>
      </c>
      <c r="AG12" s="212">
        <v>1308563</v>
      </c>
      <c r="AH12" s="212">
        <v>1016691</v>
      </c>
      <c r="AI12" s="212">
        <v>674198</v>
      </c>
      <c r="AJ12" s="212">
        <v>718709</v>
      </c>
      <c r="AK12" s="212">
        <v>333752.57</v>
      </c>
      <c r="AL12" s="212">
        <v>4137113</v>
      </c>
      <c r="AM12" s="212">
        <v>8670550.5500000007</v>
      </c>
      <c r="AN12" s="212">
        <v>8176343</v>
      </c>
    </row>
    <row r="13" spans="2:40" ht="14.25" customHeight="1" x14ac:dyDescent="0.35">
      <c r="B13" s="9" t="s">
        <v>47</v>
      </c>
      <c r="C13" s="24">
        <f>SUM(C17:C23)+C14</f>
        <v>15958982.77</v>
      </c>
      <c r="D13" s="2">
        <f t="shared" ref="D13:J13" si="27">SUM(D17:D23)+D14</f>
        <v>20090530.300000001</v>
      </c>
      <c r="E13" s="2">
        <f t="shared" si="27"/>
        <v>21552046.119999997</v>
      </c>
      <c r="F13" s="25">
        <f t="shared" si="27"/>
        <v>20192085.870000001</v>
      </c>
      <c r="G13" s="24">
        <f t="shared" si="27"/>
        <v>24609971.509999998</v>
      </c>
      <c r="H13" s="2">
        <f t="shared" si="27"/>
        <v>22659346.600000001</v>
      </c>
      <c r="I13" s="2">
        <f t="shared" si="27"/>
        <v>30384232.869999997</v>
      </c>
      <c r="J13" s="25">
        <f t="shared" si="27"/>
        <v>28214347.820000004</v>
      </c>
      <c r="K13" s="24">
        <f t="shared" ref="K13" si="28">SUM(K17:K23)+K14</f>
        <v>26854197.399999999</v>
      </c>
      <c r="L13" s="2">
        <f t="shared" ref="L13" si="29">SUM(L17:L23)+L14</f>
        <v>23909061.800000001</v>
      </c>
      <c r="M13" s="2">
        <f t="shared" ref="M13" si="30">SUM(M17:M23)+M14</f>
        <v>29354652</v>
      </c>
      <c r="N13" s="25">
        <f t="shared" ref="N13" si="31">SUM(N17:N23)+N14</f>
        <v>28452292</v>
      </c>
      <c r="O13" s="64">
        <f t="shared" ref="O13" si="32">SUM(O17:O23)+O14</f>
        <v>231573026</v>
      </c>
      <c r="P13" s="65">
        <f t="shared" ref="P13:Q13" si="33">SUM(P17:P23)+P14</f>
        <v>234968293.90000001</v>
      </c>
      <c r="Q13" s="65">
        <f t="shared" si="33"/>
        <v>227240138.78</v>
      </c>
      <c r="R13" s="66">
        <f t="shared" ref="R13" si="34">SUM(R17:R23)+R14</f>
        <v>230124717</v>
      </c>
      <c r="S13" s="64">
        <f t="shared" ref="S13" si="35">SUM(S17:S23)+S14</f>
        <v>225568476.87</v>
      </c>
      <c r="T13" s="65">
        <f t="shared" ref="T13" si="36">SUM(T17:T23)+T14</f>
        <v>217041121.74000001</v>
      </c>
      <c r="U13" s="65">
        <f t="shared" ref="U13" si="37">SUM(U17:U23)+U14</f>
        <v>214843580</v>
      </c>
      <c r="V13" s="66">
        <f t="shared" ref="V13" si="38">SUM(V17:V23)+V14</f>
        <v>217671998</v>
      </c>
      <c r="W13" s="64">
        <f t="shared" ref="W13:X13" si="39">SUM(W17:W23)+W14</f>
        <v>208233940</v>
      </c>
      <c r="X13" s="65">
        <f t="shared" si="39"/>
        <v>196667881.28</v>
      </c>
      <c r="Y13" s="65">
        <f t="shared" ref="Y13" si="40">SUM(Y17:Y23)+Y14</f>
        <v>192065410</v>
      </c>
      <c r="AA13" s="7" t="s">
        <v>187</v>
      </c>
      <c r="AB13" s="212">
        <v>199780147</v>
      </c>
      <c r="AC13" s="212">
        <v>172787202</v>
      </c>
      <c r="AD13" s="212">
        <v>186748730</v>
      </c>
      <c r="AE13" s="212">
        <v>181441495</v>
      </c>
      <c r="AF13" s="212">
        <v>190796552</v>
      </c>
      <c r="AG13" s="212">
        <v>174459070.09275088</v>
      </c>
      <c r="AH13" s="212">
        <v>203745284</v>
      </c>
      <c r="AI13" s="212">
        <v>197997902</v>
      </c>
      <c r="AJ13" s="212">
        <v>197519602</v>
      </c>
      <c r="AK13" s="212">
        <v>180914095.38</v>
      </c>
      <c r="AL13" s="212">
        <v>186603184</v>
      </c>
      <c r="AM13" s="212">
        <v>207064621.14999998</v>
      </c>
      <c r="AN13" s="212">
        <v>223153201</v>
      </c>
    </row>
    <row r="14" spans="2:40" ht="14.25" customHeight="1" x14ac:dyDescent="0.35">
      <c r="B14" s="19" t="s">
        <v>48</v>
      </c>
      <c r="C14" s="32">
        <v>8990194.6199999992</v>
      </c>
      <c r="D14" s="5">
        <v>12940262.49</v>
      </c>
      <c r="E14" s="5">
        <v>14518721.529999999</v>
      </c>
      <c r="F14" s="33">
        <v>13047398.59</v>
      </c>
      <c r="G14" s="32">
        <v>17513230.139999997</v>
      </c>
      <c r="H14" s="5">
        <v>15972759.580000002</v>
      </c>
      <c r="I14" s="5">
        <v>23964529.659999996</v>
      </c>
      <c r="J14" s="33">
        <v>21515714.950000003</v>
      </c>
      <c r="K14" s="32">
        <v>18620514</v>
      </c>
      <c r="L14" s="5">
        <v>15958722</v>
      </c>
      <c r="M14" s="5">
        <v>21829213</v>
      </c>
      <c r="N14" s="33">
        <v>20425249</v>
      </c>
      <c r="O14" s="67">
        <v>18416232</v>
      </c>
      <c r="P14" s="68">
        <v>22596528</v>
      </c>
      <c r="Q14" s="68">
        <v>20177134</v>
      </c>
      <c r="R14" s="69">
        <v>17572804</v>
      </c>
      <c r="S14" s="67">
        <v>14836314</v>
      </c>
      <c r="T14" s="68">
        <v>12054156</v>
      </c>
      <c r="U14" s="68">
        <v>13404969</v>
      </c>
      <c r="V14" s="69">
        <v>11040669</v>
      </c>
      <c r="W14" s="67">
        <v>8538901</v>
      </c>
      <c r="X14" s="68">
        <v>6361936</v>
      </c>
      <c r="Y14" s="68">
        <v>4094359</v>
      </c>
      <c r="AA14" s="200" t="s">
        <v>188</v>
      </c>
      <c r="AB14" s="213">
        <v>4915840</v>
      </c>
      <c r="AC14" s="213">
        <v>5078330</v>
      </c>
      <c r="AD14" s="213">
        <v>4884163</v>
      </c>
      <c r="AE14" s="213">
        <v>4689995</v>
      </c>
      <c r="AF14" s="213">
        <v>4495827</v>
      </c>
      <c r="AG14" s="213">
        <v>4301660</v>
      </c>
      <c r="AH14" s="213">
        <v>4301660</v>
      </c>
      <c r="AI14" s="213">
        <v>3913325</v>
      </c>
      <c r="AJ14" s="213">
        <v>3200330</v>
      </c>
      <c r="AK14" s="213">
        <v>3030482.16</v>
      </c>
      <c r="AL14" s="213">
        <v>2860635</v>
      </c>
      <c r="AM14" s="212">
        <v>2690787</v>
      </c>
      <c r="AN14" s="212">
        <v>3810031</v>
      </c>
    </row>
    <row r="15" spans="2:40" s="105" customFormat="1" ht="14.25" customHeight="1" x14ac:dyDescent="0.35">
      <c r="B15" s="98" t="s">
        <v>49</v>
      </c>
      <c r="C15" s="99" t="s">
        <v>176</v>
      </c>
      <c r="D15" s="100" t="s">
        <v>176</v>
      </c>
      <c r="E15" s="100" t="s">
        <v>176</v>
      </c>
      <c r="F15" s="101" t="s">
        <v>176</v>
      </c>
      <c r="G15" s="99" t="s">
        <v>176</v>
      </c>
      <c r="H15" s="100" t="s">
        <v>176</v>
      </c>
      <c r="I15" s="100" t="s">
        <v>176</v>
      </c>
      <c r="J15" s="101" t="s">
        <v>176</v>
      </c>
      <c r="K15" s="99"/>
      <c r="L15" s="100" t="s">
        <v>176</v>
      </c>
      <c r="M15" s="100" t="s">
        <v>176</v>
      </c>
      <c r="N15" s="101"/>
      <c r="O15" s="102"/>
      <c r="P15" s="103"/>
      <c r="Q15" s="103"/>
      <c r="R15" s="104"/>
      <c r="S15" s="102"/>
      <c r="T15" s="103">
        <v>0</v>
      </c>
      <c r="U15" s="103"/>
      <c r="V15" s="104"/>
      <c r="W15" s="102"/>
      <c r="X15" s="103"/>
      <c r="Y15" s="103"/>
      <c r="AA15" s="7" t="s">
        <v>52</v>
      </c>
      <c r="AB15" s="213">
        <v>1414143</v>
      </c>
      <c r="AC15" s="213">
        <v>978691</v>
      </c>
      <c r="AD15" s="213">
        <v>16488</v>
      </c>
      <c r="AE15" s="213"/>
      <c r="AF15" s="213"/>
      <c r="AG15" s="213">
        <v>0</v>
      </c>
      <c r="AH15" s="213"/>
      <c r="AI15" s="213"/>
      <c r="AJ15" s="213"/>
      <c r="AK15" s="213"/>
      <c r="AL15" s="213"/>
      <c r="AM15" s="212">
        <v>0</v>
      </c>
      <c r="AN15" s="212">
        <v>0</v>
      </c>
    </row>
    <row r="16" spans="2:40" s="105" customFormat="1" ht="14.25" customHeight="1" x14ac:dyDescent="0.35">
      <c r="B16" s="98" t="s">
        <v>50</v>
      </c>
      <c r="C16" s="99" t="s">
        <v>176</v>
      </c>
      <c r="D16" s="100" t="s">
        <v>176</v>
      </c>
      <c r="E16" s="100" t="s">
        <v>176</v>
      </c>
      <c r="F16" s="101" t="s">
        <v>176</v>
      </c>
      <c r="G16" s="99" t="s">
        <v>176</v>
      </c>
      <c r="H16" s="100" t="s">
        <v>176</v>
      </c>
      <c r="I16" s="100" t="s">
        <v>176</v>
      </c>
      <c r="J16" s="101" t="s">
        <v>176</v>
      </c>
      <c r="K16" s="99">
        <f t="shared" ref="K16:W16" si="41">K14-K15</f>
        <v>18620514</v>
      </c>
      <c r="L16" s="100" t="s">
        <v>176</v>
      </c>
      <c r="M16" s="100" t="s">
        <v>176</v>
      </c>
      <c r="N16" s="101">
        <f t="shared" si="41"/>
        <v>20425249</v>
      </c>
      <c r="O16" s="102">
        <f t="shared" si="41"/>
        <v>18416232</v>
      </c>
      <c r="P16" s="103">
        <f t="shared" si="41"/>
        <v>22596528</v>
      </c>
      <c r="Q16" s="103">
        <f t="shared" si="41"/>
        <v>20177134</v>
      </c>
      <c r="R16" s="104">
        <f t="shared" si="41"/>
        <v>17572804</v>
      </c>
      <c r="S16" s="102">
        <f t="shared" si="41"/>
        <v>14836314</v>
      </c>
      <c r="T16" s="103">
        <f t="shared" si="41"/>
        <v>12054156</v>
      </c>
      <c r="U16" s="103">
        <f t="shared" si="41"/>
        <v>13404969</v>
      </c>
      <c r="V16" s="104">
        <f t="shared" si="41"/>
        <v>11040669</v>
      </c>
      <c r="W16" s="102">
        <f t="shared" si="41"/>
        <v>8538901</v>
      </c>
      <c r="X16" s="103">
        <v>6361936</v>
      </c>
      <c r="Y16" s="103">
        <v>4094359</v>
      </c>
      <c r="AA16" s="7" t="s">
        <v>54</v>
      </c>
      <c r="AB16" s="212">
        <v>521199</v>
      </c>
      <c r="AC16" s="212">
        <v>425226</v>
      </c>
      <c r="AD16" s="212">
        <v>425226</v>
      </c>
      <c r="AE16" s="212">
        <v>425226</v>
      </c>
      <c r="AF16" s="212">
        <v>425226</v>
      </c>
      <c r="AG16" s="212">
        <v>443041</v>
      </c>
      <c r="AH16" s="212">
        <v>443041</v>
      </c>
      <c r="AI16" s="212">
        <v>443041</v>
      </c>
      <c r="AJ16" s="212">
        <v>443041</v>
      </c>
      <c r="AK16" s="212">
        <v>761853</v>
      </c>
      <c r="AL16" s="212">
        <v>761853</v>
      </c>
      <c r="AM16" s="212">
        <v>761853</v>
      </c>
      <c r="AN16" s="212">
        <v>761853</v>
      </c>
    </row>
    <row r="17" spans="2:40" ht="14.25" customHeight="1" x14ac:dyDescent="0.35">
      <c r="B17" s="19" t="s">
        <v>175</v>
      </c>
      <c r="C17" s="32"/>
      <c r="D17" s="5"/>
      <c r="E17" s="5"/>
      <c r="F17" s="33"/>
      <c r="G17" s="32"/>
      <c r="H17" s="5"/>
      <c r="I17" s="5"/>
      <c r="J17" s="33"/>
      <c r="K17" s="32"/>
      <c r="L17" s="5"/>
      <c r="M17" s="5"/>
      <c r="N17" s="33"/>
      <c r="O17" s="67">
        <v>204548350</v>
      </c>
      <c r="P17" s="68">
        <v>202577787</v>
      </c>
      <c r="Q17" s="68">
        <v>198473538</v>
      </c>
      <c r="R17" s="69">
        <v>202053095</v>
      </c>
      <c r="S17" s="67">
        <v>202852474</v>
      </c>
      <c r="T17" s="68">
        <v>196451815</v>
      </c>
      <c r="U17" s="68">
        <v>193647393</v>
      </c>
      <c r="V17" s="69">
        <v>199780147</v>
      </c>
      <c r="W17" s="67">
        <v>192779517</v>
      </c>
      <c r="X17" s="68">
        <v>185830750</v>
      </c>
      <c r="Y17" s="68">
        <v>182116534</v>
      </c>
      <c r="AA17" s="180" t="s">
        <v>56</v>
      </c>
      <c r="AB17" s="211">
        <f>SUM(AB18:AB21)</f>
        <v>104232086</v>
      </c>
      <c r="AC17" s="211">
        <f t="shared" ref="AC17:AE17" si="42">SUM(AC18:AC21)</f>
        <v>106710894</v>
      </c>
      <c r="AD17" s="211">
        <f t="shared" si="42"/>
        <v>109843290</v>
      </c>
      <c r="AE17" s="211">
        <f t="shared" si="42"/>
        <v>110825187</v>
      </c>
      <c r="AF17" s="211">
        <f t="shared" ref="AF17:AG17" si="43">SUM(AF18:AF21)</f>
        <v>112787927</v>
      </c>
      <c r="AG17" s="211">
        <f t="shared" si="43"/>
        <v>122512768.09221397</v>
      </c>
      <c r="AH17" s="211">
        <f t="shared" ref="AH17:AI17" si="44">SUM(AH18:AH21)</f>
        <v>137853685</v>
      </c>
      <c r="AI17" s="211">
        <f t="shared" si="44"/>
        <v>149090528</v>
      </c>
      <c r="AJ17" s="211">
        <f t="shared" ref="AJ17:AK17" si="45">SUM(AJ18:AJ21)</f>
        <v>139831310</v>
      </c>
      <c r="AK17" s="211">
        <f t="shared" si="45"/>
        <v>163957969.79828978</v>
      </c>
      <c r="AL17" s="211">
        <f t="shared" ref="AL17:AM17" si="46">SUM(AL18:AL21)</f>
        <v>170842191</v>
      </c>
      <c r="AM17" s="211">
        <f t="shared" si="46"/>
        <v>165326988.40994483</v>
      </c>
      <c r="AN17" s="211">
        <f t="shared" ref="AN17" si="47">SUM(AN18:AN21)</f>
        <v>120982421</v>
      </c>
    </row>
    <row r="18" spans="2:40" ht="14.25" customHeight="1" x14ac:dyDescent="0.35">
      <c r="B18" s="7" t="s">
        <v>57</v>
      </c>
      <c r="C18" s="32">
        <v>1368043.2699999998</v>
      </c>
      <c r="D18" s="5">
        <v>1131272.9299999997</v>
      </c>
      <c r="E18" s="5">
        <v>898269.7099999995</v>
      </c>
      <c r="F18" s="33">
        <v>762326.9</v>
      </c>
      <c r="G18" s="32">
        <v>665730.99000000011</v>
      </c>
      <c r="H18" s="5">
        <v>567185.64000000025</v>
      </c>
      <c r="I18" s="5">
        <v>466540.76</v>
      </c>
      <c r="J18" s="33">
        <v>612644.87000000023</v>
      </c>
      <c r="K18" s="32">
        <v>533640</v>
      </c>
      <c r="L18" s="5">
        <v>458065</v>
      </c>
      <c r="M18" s="5">
        <v>411752</v>
      </c>
      <c r="N18" s="33">
        <v>517478</v>
      </c>
      <c r="O18" s="67">
        <v>373819</v>
      </c>
      <c r="P18" s="68">
        <v>320419</v>
      </c>
      <c r="Q18" s="68">
        <v>262500</v>
      </c>
      <c r="R18" s="69"/>
      <c r="S18" s="72">
        <v>0</v>
      </c>
      <c r="T18" s="68">
        <v>0</v>
      </c>
      <c r="U18" s="68"/>
      <c r="V18" s="73"/>
      <c r="W18" s="72">
        <v>0</v>
      </c>
      <c r="X18" s="71"/>
      <c r="Y18" s="71"/>
      <c r="AA18" s="7" t="s">
        <v>48</v>
      </c>
      <c r="AB18" s="212">
        <v>27230285</v>
      </c>
      <c r="AC18" s="212">
        <v>22082330</v>
      </c>
      <c r="AD18" s="212">
        <v>20844063</v>
      </c>
      <c r="AE18" s="212">
        <v>19708455</v>
      </c>
      <c r="AF18" s="212">
        <v>19020403</v>
      </c>
      <c r="AG18" s="212">
        <v>22219658</v>
      </c>
      <c r="AH18" s="212">
        <v>27236410</v>
      </c>
      <c r="AI18" s="212">
        <v>31236449</v>
      </c>
      <c r="AJ18" s="212">
        <v>28702517</v>
      </c>
      <c r="AK18" s="212">
        <v>38072509.879999995</v>
      </c>
      <c r="AL18" s="212">
        <v>38924599</v>
      </c>
      <c r="AM18" s="212">
        <v>40011879.760000005</v>
      </c>
      <c r="AN18" s="212">
        <v>2022099</v>
      </c>
    </row>
    <row r="19" spans="2:40" ht="14.25" customHeight="1" x14ac:dyDescent="0.35">
      <c r="B19" s="19" t="s">
        <v>51</v>
      </c>
      <c r="C19" s="26">
        <v>22201.879999999994</v>
      </c>
      <c r="D19" s="3">
        <v>22201.879999999994</v>
      </c>
      <c r="E19" s="3">
        <v>22201.879999999994</v>
      </c>
      <c r="F19" s="29">
        <v>21791.599999999999</v>
      </c>
      <c r="G19" s="26">
        <v>21791.599999999999</v>
      </c>
      <c r="H19" s="3">
        <v>21791.599999999999</v>
      </c>
      <c r="I19" s="3">
        <v>6551.6699999999973</v>
      </c>
      <c r="J19" s="29"/>
      <c r="K19" s="26"/>
      <c r="L19" s="3"/>
      <c r="M19" s="3"/>
      <c r="N19" s="29"/>
      <c r="O19" s="72"/>
      <c r="P19" s="71"/>
      <c r="Q19" s="71"/>
      <c r="R19" s="73"/>
      <c r="S19" s="72"/>
      <c r="T19" s="71">
        <v>0</v>
      </c>
      <c r="U19" s="71"/>
      <c r="V19" s="73"/>
      <c r="W19" s="72"/>
      <c r="X19" s="71"/>
      <c r="Y19" s="71"/>
      <c r="AA19" s="7" t="s">
        <v>187</v>
      </c>
      <c r="AB19" s="212">
        <v>36183406</v>
      </c>
      <c r="AC19" s="212">
        <v>35720390</v>
      </c>
      <c r="AD19" s="212">
        <v>37296072</v>
      </c>
      <c r="AE19" s="212">
        <v>37823622</v>
      </c>
      <c r="AF19" s="212">
        <v>40239375</v>
      </c>
      <c r="AG19" s="212">
        <v>45192619.092213973</v>
      </c>
      <c r="AH19" s="212">
        <v>49657996</v>
      </c>
      <c r="AI19" s="212">
        <v>50098075</v>
      </c>
      <c r="AJ19" s="212">
        <v>51220291</v>
      </c>
      <c r="AK19" s="212">
        <v>49286600.119999789</v>
      </c>
      <c r="AL19" s="212">
        <v>50494727</v>
      </c>
      <c r="AM19" s="212">
        <v>51601129.309999362</v>
      </c>
      <c r="AN19" s="212">
        <v>43944914</v>
      </c>
    </row>
    <row r="20" spans="2:40" ht="14.25" customHeight="1" x14ac:dyDescent="0.35">
      <c r="B20" s="19" t="s">
        <v>52</v>
      </c>
      <c r="C20" s="26">
        <v>5264465</v>
      </c>
      <c r="D20" s="3">
        <v>5682715</v>
      </c>
      <c r="E20" s="3">
        <v>5798775</v>
      </c>
      <c r="F20" s="29">
        <v>5949090</v>
      </c>
      <c r="G20" s="26">
        <v>5997740</v>
      </c>
      <c r="H20" s="3">
        <v>5686131</v>
      </c>
      <c r="I20" s="3">
        <v>5535132</v>
      </c>
      <c r="J20" s="29">
        <v>5558528</v>
      </c>
      <c r="K20" s="26">
        <v>4721823</v>
      </c>
      <c r="L20" s="3">
        <v>4693221</v>
      </c>
      <c r="M20" s="3">
        <v>3995467</v>
      </c>
      <c r="N20" s="29">
        <v>4740284</v>
      </c>
      <c r="O20" s="72">
        <v>3921298</v>
      </c>
      <c r="P20" s="71">
        <v>3847289</v>
      </c>
      <c r="Q20" s="71">
        <v>2844930</v>
      </c>
      <c r="R20" s="73">
        <v>4989059</v>
      </c>
      <c r="S20" s="72">
        <v>1654857</v>
      </c>
      <c r="T20" s="71">
        <v>2478873</v>
      </c>
      <c r="U20" s="71">
        <v>1903494</v>
      </c>
      <c r="V20" s="73">
        <v>1414143</v>
      </c>
      <c r="W20" s="72">
        <v>733490</v>
      </c>
      <c r="X20" s="71">
        <v>1203018</v>
      </c>
      <c r="Y20" s="71">
        <v>60820</v>
      </c>
      <c r="AA20" s="181" t="s">
        <v>189</v>
      </c>
      <c r="AB20" s="213">
        <v>39913355</v>
      </c>
      <c r="AC20" s="212">
        <v>48082727</v>
      </c>
      <c r="AD20" s="212">
        <v>50598952</v>
      </c>
      <c r="AE20" s="212">
        <v>50851194</v>
      </c>
      <c r="AF20" s="212">
        <v>52071434</v>
      </c>
      <c r="AG20" s="212">
        <v>54032648</v>
      </c>
      <c r="AH20" s="212">
        <v>58698742</v>
      </c>
      <c r="AI20" s="212">
        <v>65188202</v>
      </c>
      <c r="AJ20" s="212">
        <v>58350558</v>
      </c>
      <c r="AK20" s="212">
        <v>75342799.679989994</v>
      </c>
      <c r="AL20" s="212">
        <v>78777988</v>
      </c>
      <c r="AM20" s="212">
        <v>70829496.979945451</v>
      </c>
      <c r="AN20" s="212">
        <v>72465085</v>
      </c>
    </row>
    <row r="21" spans="2:40" ht="14.25" customHeight="1" x14ac:dyDescent="0.35">
      <c r="B21" s="19" t="s">
        <v>53</v>
      </c>
      <c r="C21" s="26">
        <v>0</v>
      </c>
      <c r="D21" s="3"/>
      <c r="E21" s="3"/>
      <c r="F21" s="29">
        <v>0</v>
      </c>
      <c r="G21" s="26"/>
      <c r="H21" s="3">
        <v>0</v>
      </c>
      <c r="I21" s="3"/>
      <c r="J21" s="29"/>
      <c r="K21" s="26">
        <v>2450760.4</v>
      </c>
      <c r="L21" s="3">
        <v>2271593.7999999998</v>
      </c>
      <c r="M21" s="3">
        <v>2590760</v>
      </c>
      <c r="N21" s="29">
        <v>2150000</v>
      </c>
      <c r="O21" s="72">
        <v>3694046</v>
      </c>
      <c r="P21" s="71">
        <v>5006989.8999999994</v>
      </c>
      <c r="Q21" s="71">
        <v>4862755.7799999993</v>
      </c>
      <c r="R21" s="73">
        <v>4706430</v>
      </c>
      <c r="S21" s="72">
        <v>5421502.8699999992</v>
      </c>
      <c r="T21" s="71">
        <v>5252948.74</v>
      </c>
      <c r="U21" s="71">
        <v>5084395</v>
      </c>
      <c r="V21" s="73">
        <v>4915840</v>
      </c>
      <c r="W21" s="72">
        <v>5660833</v>
      </c>
      <c r="X21" s="71">
        <v>2750978.2799999993</v>
      </c>
      <c r="Y21" s="71">
        <v>5272498</v>
      </c>
      <c r="AA21" s="7" t="s">
        <v>54</v>
      </c>
      <c r="AB21" s="213">
        <v>905040</v>
      </c>
      <c r="AC21" s="213">
        <v>825447</v>
      </c>
      <c r="AD21" s="213">
        <v>1104203</v>
      </c>
      <c r="AE21" s="213">
        <v>2441916</v>
      </c>
      <c r="AF21" s="213">
        <v>1456715</v>
      </c>
      <c r="AG21" s="213">
        <v>1067843</v>
      </c>
      <c r="AH21" s="213">
        <v>2260537</v>
      </c>
      <c r="AI21" s="213">
        <v>2567802</v>
      </c>
      <c r="AJ21" s="213">
        <v>1557944</v>
      </c>
      <c r="AK21" s="213">
        <v>1256060.1183</v>
      </c>
      <c r="AL21" s="213">
        <v>2644877</v>
      </c>
      <c r="AM21" s="212">
        <v>2884482.36</v>
      </c>
      <c r="AN21" s="212">
        <v>2550323</v>
      </c>
    </row>
    <row r="22" spans="2:40" ht="14.25" customHeight="1" x14ac:dyDescent="0.35">
      <c r="B22" s="19" t="s">
        <v>54</v>
      </c>
      <c r="C22" s="32">
        <v>314078</v>
      </c>
      <c r="D22" s="5">
        <v>314078</v>
      </c>
      <c r="E22" s="5">
        <v>314078</v>
      </c>
      <c r="F22" s="33">
        <v>411478.78</v>
      </c>
      <c r="G22" s="32">
        <v>411478.78</v>
      </c>
      <c r="H22" s="5">
        <v>411478.78</v>
      </c>
      <c r="I22" s="5">
        <v>411478.78</v>
      </c>
      <c r="J22" s="33">
        <v>527460</v>
      </c>
      <c r="K22" s="32">
        <v>527460</v>
      </c>
      <c r="L22" s="5">
        <v>527460</v>
      </c>
      <c r="M22" s="5">
        <v>527460</v>
      </c>
      <c r="N22" s="33">
        <v>619281</v>
      </c>
      <c r="O22" s="67">
        <v>619281</v>
      </c>
      <c r="P22" s="68">
        <v>619281</v>
      </c>
      <c r="Q22" s="68">
        <v>619281</v>
      </c>
      <c r="R22" s="69">
        <v>803329</v>
      </c>
      <c r="S22" s="67">
        <v>803329</v>
      </c>
      <c r="T22" s="68">
        <v>803329</v>
      </c>
      <c r="U22" s="68">
        <v>803329</v>
      </c>
      <c r="V22" s="69">
        <v>521199</v>
      </c>
      <c r="W22" s="67">
        <v>521199</v>
      </c>
      <c r="X22" s="68">
        <v>521199</v>
      </c>
      <c r="Y22" s="68">
        <v>521199</v>
      </c>
      <c r="AA22" s="166" t="s">
        <v>190</v>
      </c>
      <c r="AB22" s="214">
        <f>AB17+AB11</f>
        <v>321904084</v>
      </c>
      <c r="AC22" s="214">
        <f t="shared" ref="AC22:AE22" si="48">AC17+AC11</f>
        <v>290109136</v>
      </c>
      <c r="AD22" s="214">
        <f t="shared" si="48"/>
        <v>304919839</v>
      </c>
      <c r="AE22" s="214">
        <f t="shared" si="48"/>
        <v>299540634</v>
      </c>
      <c r="AF22" s="214">
        <f t="shared" ref="AF22:AG22" si="49">AF17+AF11</f>
        <v>310161816</v>
      </c>
      <c r="AG22" s="214">
        <f t="shared" si="49"/>
        <v>303025102.18496484</v>
      </c>
      <c r="AH22" s="214">
        <f t="shared" ref="AH22:AJ22" si="50">AH17+AH11</f>
        <v>347360361</v>
      </c>
      <c r="AI22" s="214">
        <f t="shared" si="50"/>
        <v>352118994</v>
      </c>
      <c r="AJ22" s="214">
        <f t="shared" si="50"/>
        <v>341712992</v>
      </c>
      <c r="AK22" s="214">
        <f t="shared" ref="AK22:AL22" si="51">AK17+AK11</f>
        <v>348998152.90828979</v>
      </c>
      <c r="AL22" s="214">
        <f t="shared" si="51"/>
        <v>365204976</v>
      </c>
      <c r="AM22" s="214">
        <f t="shared" ref="AM22:AN22" si="52">AM17+AM11</f>
        <v>384514800.10994482</v>
      </c>
      <c r="AN22" s="214">
        <f t="shared" si="52"/>
        <v>356883849</v>
      </c>
    </row>
    <row r="23" spans="2:40" ht="14.25" customHeight="1" x14ac:dyDescent="0.35">
      <c r="B23" s="19" t="s">
        <v>55</v>
      </c>
      <c r="C23" s="32"/>
      <c r="D23" s="5"/>
      <c r="E23" s="5"/>
      <c r="F23" s="33"/>
      <c r="G23" s="32"/>
      <c r="H23" s="5"/>
      <c r="I23" s="5"/>
      <c r="J23" s="33"/>
      <c r="K23" s="32"/>
      <c r="L23" s="5"/>
      <c r="M23" s="5"/>
      <c r="N23" s="33"/>
      <c r="O23" s="67"/>
      <c r="P23" s="68"/>
      <c r="Q23" s="68"/>
      <c r="R23" s="69">
        <v>0</v>
      </c>
      <c r="S23" s="67"/>
      <c r="T23" s="68">
        <v>0</v>
      </c>
      <c r="U23" s="68"/>
      <c r="V23" s="69"/>
      <c r="W23" s="67"/>
      <c r="X23" s="68"/>
      <c r="Y23" s="68"/>
      <c r="AA23" s="166" t="s">
        <v>61</v>
      </c>
      <c r="AB23" s="211">
        <f>AB6+AB22</f>
        <v>419910401.08000171</v>
      </c>
      <c r="AC23" s="211">
        <f t="shared" ref="AC23:AE23" si="53">AC6+AC22</f>
        <v>465612117.92000175</v>
      </c>
      <c r="AD23" s="211">
        <f t="shared" si="53"/>
        <v>473405986.98000002</v>
      </c>
      <c r="AE23" s="211">
        <f t="shared" si="53"/>
        <v>455886327.98000002</v>
      </c>
      <c r="AF23" s="211">
        <f t="shared" ref="AF23:AG23" si="54">AF6+AF22</f>
        <v>455628473.98000002</v>
      </c>
      <c r="AG23" s="211">
        <f t="shared" si="54"/>
        <v>453280983.21400398</v>
      </c>
      <c r="AH23" s="211">
        <f t="shared" ref="AH23:AI23" si="55">AH6+AH22</f>
        <v>490751670.98000002</v>
      </c>
      <c r="AI23" s="211">
        <f t="shared" si="55"/>
        <v>506723398.98000002</v>
      </c>
      <c r="AJ23" s="211">
        <f t="shared" ref="AJ23:AK23" si="56">AJ6+AJ22</f>
        <v>491967444.98000002</v>
      </c>
      <c r="AK23" s="211">
        <f t="shared" si="56"/>
        <v>507101771.66828585</v>
      </c>
      <c r="AL23" s="211">
        <f t="shared" ref="AL23:AM23" si="57">AL6+AL22</f>
        <v>524664129.60000038</v>
      </c>
      <c r="AM23" s="211">
        <f t="shared" si="57"/>
        <v>544996998.20994687</v>
      </c>
      <c r="AN23" s="211">
        <f t="shared" ref="AN23" si="58">AN6+AN22</f>
        <v>530164484</v>
      </c>
    </row>
    <row r="24" spans="2:40" ht="14.25" customHeight="1" x14ac:dyDescent="0.35">
      <c r="B24" s="9" t="s">
        <v>56</v>
      </c>
      <c r="C24" s="24">
        <f>SUM(C28:C35)+C25</f>
        <v>57944481.66997245</v>
      </c>
      <c r="D24" s="2">
        <f t="shared" ref="D24:Y24" si="59">SUM(D28:D35)+D25</f>
        <v>52057138.969972759</v>
      </c>
      <c r="E24" s="2">
        <f t="shared" si="59"/>
        <v>54169850.119973212</v>
      </c>
      <c r="F24" s="25">
        <f t="shared" si="59"/>
        <v>61657598.780036196</v>
      </c>
      <c r="G24" s="24">
        <f t="shared" si="59"/>
        <v>56823896.159875616</v>
      </c>
      <c r="H24" s="2">
        <f t="shared" si="59"/>
        <v>57106484.069874436</v>
      </c>
      <c r="I24" s="2">
        <f t="shared" si="59"/>
        <v>50015223.166241735</v>
      </c>
      <c r="J24" s="25">
        <f t="shared" si="59"/>
        <v>63026160.259883165</v>
      </c>
      <c r="K24" s="24">
        <f t="shared" si="59"/>
        <v>63958051.129999645</v>
      </c>
      <c r="L24" s="2">
        <f t="shared" si="59"/>
        <v>68668073.159999996</v>
      </c>
      <c r="M24" s="2">
        <f t="shared" si="59"/>
        <v>70565495</v>
      </c>
      <c r="N24" s="25">
        <f t="shared" si="59"/>
        <v>86838966.030000001</v>
      </c>
      <c r="O24" s="64">
        <f t="shared" si="59"/>
        <v>117156570</v>
      </c>
      <c r="P24" s="65">
        <f t="shared" si="59"/>
        <v>117105102.09999999</v>
      </c>
      <c r="Q24" s="65">
        <f t="shared" si="59"/>
        <v>112195662.22</v>
      </c>
      <c r="R24" s="66">
        <f t="shared" si="59"/>
        <v>109827746</v>
      </c>
      <c r="S24" s="64">
        <f t="shared" si="59"/>
        <v>116109943.13</v>
      </c>
      <c r="T24" s="65">
        <f t="shared" si="59"/>
        <v>114240911.26000001</v>
      </c>
      <c r="U24" s="65">
        <f t="shared" si="59"/>
        <v>116319374</v>
      </c>
      <c r="V24" s="66">
        <f t="shared" si="59"/>
        <v>104232086</v>
      </c>
      <c r="W24" s="64">
        <f t="shared" si="59"/>
        <v>108714299</v>
      </c>
      <c r="X24" s="65">
        <f t="shared" si="59"/>
        <v>112286118.31</v>
      </c>
      <c r="Y24" s="65">
        <f t="shared" si="59"/>
        <v>115058279</v>
      </c>
      <c r="AB24" s="52"/>
      <c r="AC24" s="52"/>
      <c r="AJ24" s="14"/>
    </row>
    <row r="25" spans="2:40" ht="14.25" customHeight="1" x14ac:dyDescent="0.35">
      <c r="B25" s="19" t="s">
        <v>48</v>
      </c>
      <c r="C25" s="32">
        <v>22740711.769975901</v>
      </c>
      <c r="D25" s="5">
        <v>21636810.929976031</v>
      </c>
      <c r="E25" s="5">
        <v>22786734.739975892</v>
      </c>
      <c r="F25" s="33">
        <v>24064121.4499841</v>
      </c>
      <c r="G25" s="32">
        <v>27404582.309887774</v>
      </c>
      <c r="H25" s="5">
        <v>28245580.469886445</v>
      </c>
      <c r="I25" s="5">
        <v>19127908.349890828</v>
      </c>
      <c r="J25" s="33">
        <v>24939026.249894775</v>
      </c>
      <c r="K25" s="32">
        <v>27685452.740000002</v>
      </c>
      <c r="L25" s="5">
        <v>31794468.559999999</v>
      </c>
      <c r="M25" s="5">
        <v>33632839</v>
      </c>
      <c r="N25" s="33">
        <v>38220283.030000001</v>
      </c>
      <c r="O25" s="67">
        <v>39445859</v>
      </c>
      <c r="P25" s="68">
        <v>40736589</v>
      </c>
      <c r="Q25" s="68">
        <v>36645674</v>
      </c>
      <c r="R25" s="69">
        <v>35699871</v>
      </c>
      <c r="S25" s="67">
        <v>38725066</v>
      </c>
      <c r="T25" s="68">
        <v>27800253</v>
      </c>
      <c r="U25" s="68">
        <v>30341098</v>
      </c>
      <c r="V25" s="69">
        <v>27230285</v>
      </c>
      <c r="W25" s="67">
        <v>29535303</v>
      </c>
      <c r="X25" s="68">
        <v>28004262</v>
      </c>
      <c r="Y25" s="68">
        <v>32699443</v>
      </c>
      <c r="AJ25" s="14"/>
    </row>
    <row r="26" spans="2:40" s="105" customFormat="1" ht="14.25" customHeight="1" x14ac:dyDescent="0.35">
      <c r="B26" s="98" t="s">
        <v>49</v>
      </c>
      <c r="C26" s="99" t="s">
        <v>176</v>
      </c>
      <c r="D26" s="100" t="s">
        <v>176</v>
      </c>
      <c r="E26" s="100" t="s">
        <v>176</v>
      </c>
      <c r="F26" s="101" t="s">
        <v>176</v>
      </c>
      <c r="G26" s="99" t="s">
        <v>176</v>
      </c>
      <c r="H26" s="100" t="s">
        <v>176</v>
      </c>
      <c r="I26" s="100" t="s">
        <v>176</v>
      </c>
      <c r="J26" s="101" t="s">
        <v>176</v>
      </c>
      <c r="K26" s="99">
        <v>2712602.74</v>
      </c>
      <c r="L26" s="100" t="s">
        <v>176</v>
      </c>
      <c r="M26" s="100" t="s">
        <v>176</v>
      </c>
      <c r="N26" s="101">
        <v>13340686.029999999</v>
      </c>
      <c r="O26" s="102">
        <v>13467228</v>
      </c>
      <c r="P26" s="103">
        <v>13595177</v>
      </c>
      <c r="Q26" s="103">
        <v>13724532</v>
      </c>
      <c r="R26" s="104">
        <v>13853886</v>
      </c>
      <c r="S26" s="102">
        <v>13981835</v>
      </c>
      <c r="T26" s="103">
        <v>14109783</v>
      </c>
      <c r="U26" s="103">
        <v>14239138</v>
      </c>
      <c r="V26" s="104">
        <v>14368492</v>
      </c>
      <c r="W26" s="102">
        <v>14495035</v>
      </c>
      <c r="X26" s="103">
        <v>14622983</v>
      </c>
      <c r="Y26" s="103">
        <v>14752338</v>
      </c>
      <c r="AA26"/>
      <c r="AB26"/>
      <c r="AC26"/>
      <c r="AH26" s="271"/>
      <c r="AI26" s="271"/>
      <c r="AJ26" s="271"/>
    </row>
    <row r="27" spans="2:40" s="105" customFormat="1" ht="14.25" customHeight="1" x14ac:dyDescent="0.35">
      <c r="B27" s="98" t="s">
        <v>50</v>
      </c>
      <c r="C27" s="99" t="s">
        <v>176</v>
      </c>
      <c r="D27" s="100" t="s">
        <v>176</v>
      </c>
      <c r="E27" s="100" t="s">
        <v>176</v>
      </c>
      <c r="F27" s="101" t="s">
        <v>176</v>
      </c>
      <c r="G27" s="99" t="s">
        <v>176</v>
      </c>
      <c r="H27" s="100" t="s">
        <v>176</v>
      </c>
      <c r="I27" s="100" t="s">
        <v>176</v>
      </c>
      <c r="J27" s="101" t="s">
        <v>176</v>
      </c>
      <c r="K27" s="99">
        <f t="shared" ref="K27:W27" si="60">K25-K26</f>
        <v>24972850</v>
      </c>
      <c r="L27" s="100" t="s">
        <v>176</v>
      </c>
      <c r="M27" s="100" t="s">
        <v>176</v>
      </c>
      <c r="N27" s="101">
        <f t="shared" si="60"/>
        <v>24879597</v>
      </c>
      <c r="O27" s="102">
        <f t="shared" si="60"/>
        <v>25978631</v>
      </c>
      <c r="P27" s="103">
        <f t="shared" si="60"/>
        <v>27141412</v>
      </c>
      <c r="Q27" s="103">
        <f t="shared" si="60"/>
        <v>22921142</v>
      </c>
      <c r="R27" s="104">
        <f t="shared" si="60"/>
        <v>21845985</v>
      </c>
      <c r="S27" s="102">
        <f t="shared" si="60"/>
        <v>24743231</v>
      </c>
      <c r="T27" s="103">
        <f t="shared" si="60"/>
        <v>13690470</v>
      </c>
      <c r="U27" s="103">
        <f t="shared" si="60"/>
        <v>16101960</v>
      </c>
      <c r="V27" s="104">
        <f t="shared" si="60"/>
        <v>12861793</v>
      </c>
      <c r="W27" s="102">
        <f t="shared" si="60"/>
        <v>15040268</v>
      </c>
      <c r="X27" s="103">
        <v>13381279</v>
      </c>
      <c r="Y27" s="103">
        <v>17947105</v>
      </c>
      <c r="AA27"/>
      <c r="AB27"/>
      <c r="AC27"/>
      <c r="AH27" s="271"/>
      <c r="AI27" s="271"/>
      <c r="AJ27" s="271"/>
    </row>
    <row r="28" spans="2:40" ht="14.25" customHeight="1" x14ac:dyDescent="0.35">
      <c r="B28" s="19" t="s">
        <v>175</v>
      </c>
      <c r="C28" s="32"/>
      <c r="D28" s="5"/>
      <c r="E28" s="5"/>
      <c r="F28" s="33"/>
      <c r="G28" s="32"/>
      <c r="H28" s="5"/>
      <c r="I28" s="5"/>
      <c r="J28" s="33"/>
      <c r="K28" s="32"/>
      <c r="L28" s="5"/>
      <c r="M28" s="5"/>
      <c r="N28" s="33"/>
      <c r="O28" s="67">
        <v>32186737</v>
      </c>
      <c r="P28" s="68">
        <v>33205932</v>
      </c>
      <c r="Q28" s="68">
        <v>34422877</v>
      </c>
      <c r="R28" s="69">
        <v>34424252</v>
      </c>
      <c r="S28" s="67">
        <v>35997695</v>
      </c>
      <c r="T28" s="68">
        <v>35789236</v>
      </c>
      <c r="U28" s="68">
        <v>36068153</v>
      </c>
      <c r="V28" s="69">
        <v>36183406</v>
      </c>
      <c r="W28" s="67">
        <v>36855885</v>
      </c>
      <c r="X28" s="68">
        <v>35782167</v>
      </c>
      <c r="Y28" s="68">
        <v>36007354</v>
      </c>
      <c r="AB28" s="52"/>
      <c r="AJ28" s="14"/>
    </row>
    <row r="29" spans="2:40" ht="14.25" customHeight="1" x14ac:dyDescent="0.35">
      <c r="B29" s="19" t="s">
        <v>57</v>
      </c>
      <c r="C29" s="32">
        <v>1105711.2099999981</v>
      </c>
      <c r="D29" s="5">
        <v>1011167.9499999981</v>
      </c>
      <c r="E29" s="5">
        <v>944096.71999999881</v>
      </c>
      <c r="F29" s="33">
        <v>837585.90999999968</v>
      </c>
      <c r="G29" s="32">
        <v>701573.33999999892</v>
      </c>
      <c r="H29" s="5">
        <v>563621.56999999878</v>
      </c>
      <c r="I29" s="5">
        <v>431540.96999999892</v>
      </c>
      <c r="J29" s="33">
        <v>470667.08999999921</v>
      </c>
      <c r="K29" s="32">
        <v>337510</v>
      </c>
      <c r="L29" s="5">
        <v>327018</v>
      </c>
      <c r="M29" s="5">
        <v>391138</v>
      </c>
      <c r="N29" s="33">
        <v>428317</v>
      </c>
      <c r="O29" s="67">
        <v>474216</v>
      </c>
      <c r="P29" s="68">
        <v>425109</v>
      </c>
      <c r="Q29" s="68">
        <v>308581</v>
      </c>
      <c r="R29" s="69"/>
      <c r="S29" s="67"/>
      <c r="T29" s="68">
        <v>0</v>
      </c>
      <c r="U29" s="68"/>
      <c r="V29" s="69"/>
      <c r="W29" s="67"/>
      <c r="X29" s="68"/>
      <c r="Y29" s="68"/>
      <c r="AJ29" s="14"/>
    </row>
    <row r="30" spans="2:40" ht="14.25" customHeight="1" x14ac:dyDescent="0.35">
      <c r="B30" s="19" t="s">
        <v>58</v>
      </c>
      <c r="C30" s="26">
        <v>26853004.499996461</v>
      </c>
      <c r="D30" s="3">
        <v>22239116.329996653</v>
      </c>
      <c r="E30" s="3">
        <v>22561202.839997239</v>
      </c>
      <c r="F30" s="29">
        <v>28914557.539997201</v>
      </c>
      <c r="G30" s="26">
        <v>19843435.089988176</v>
      </c>
      <c r="H30" s="3">
        <v>19127766.3699883</v>
      </c>
      <c r="I30" s="3">
        <v>19478096.949989274</v>
      </c>
      <c r="J30" s="29">
        <v>26430631.8099887</v>
      </c>
      <c r="K30" s="26">
        <v>24256831</v>
      </c>
      <c r="L30" s="3">
        <v>24861368</v>
      </c>
      <c r="M30" s="3">
        <v>25919431</v>
      </c>
      <c r="N30" s="29">
        <v>37942468</v>
      </c>
      <c r="O30" s="72">
        <v>33903320</v>
      </c>
      <c r="P30" s="71">
        <v>30321825</v>
      </c>
      <c r="Q30" s="71">
        <v>28880765</v>
      </c>
      <c r="R30" s="73">
        <v>28056963</v>
      </c>
      <c r="S30" s="72">
        <v>29081654</v>
      </c>
      <c r="T30" s="71">
        <v>32205831</v>
      </c>
      <c r="U30" s="71">
        <v>30714901</v>
      </c>
      <c r="V30" s="73">
        <v>28245132</v>
      </c>
      <c r="W30" s="72">
        <v>27699095</v>
      </c>
      <c r="X30" s="71">
        <v>29892723</v>
      </c>
      <c r="Y30" s="71">
        <v>30875493</v>
      </c>
      <c r="AJ30" s="14"/>
    </row>
    <row r="31" spans="2:40" ht="14.25" customHeight="1" x14ac:dyDescent="0.35">
      <c r="B31" s="106" t="s">
        <v>59</v>
      </c>
      <c r="C31" s="26"/>
      <c r="D31" s="3"/>
      <c r="E31" s="3"/>
      <c r="F31" s="29"/>
      <c r="G31" s="26"/>
      <c r="H31" s="3">
        <v>0</v>
      </c>
      <c r="I31" s="3"/>
      <c r="J31" s="29"/>
      <c r="K31" s="26"/>
      <c r="L31" s="3"/>
      <c r="M31" s="3">
        <v>282345</v>
      </c>
      <c r="N31" s="29"/>
      <c r="O31" s="72"/>
      <c r="P31" s="71"/>
      <c r="Q31" s="71"/>
      <c r="R31" s="73">
        <v>38269</v>
      </c>
      <c r="S31" s="72"/>
      <c r="T31" s="71">
        <v>0</v>
      </c>
      <c r="U31" s="71">
        <v>525497</v>
      </c>
      <c r="V31" s="73"/>
      <c r="W31" s="72"/>
      <c r="X31" s="71">
        <v>13080</v>
      </c>
      <c r="Y31" s="71">
        <v>152276</v>
      </c>
      <c r="AJ31" s="14"/>
    </row>
    <row r="32" spans="2:40" ht="14.25" customHeight="1" x14ac:dyDescent="0.35">
      <c r="B32" s="19" t="s">
        <v>60</v>
      </c>
      <c r="C32" s="26">
        <v>5756152.0400000941</v>
      </c>
      <c r="D32" s="3">
        <v>5683914.040000082</v>
      </c>
      <c r="E32" s="3">
        <v>6458303.8200000841</v>
      </c>
      <c r="F32" s="29">
        <v>6268010.2900000121</v>
      </c>
      <c r="G32" s="26">
        <v>6842116.8499996755</v>
      </c>
      <c r="H32" s="3">
        <v>7326526.7599997027</v>
      </c>
      <c r="I32" s="3">
        <v>9608297.1099996436</v>
      </c>
      <c r="J32" s="29">
        <v>9611807.6699997</v>
      </c>
      <c r="K32" s="26">
        <v>9833208.7899996396</v>
      </c>
      <c r="L32" s="3">
        <v>9179522</v>
      </c>
      <c r="M32" s="3">
        <v>9169076</v>
      </c>
      <c r="N32" s="29">
        <v>9074464</v>
      </c>
      <c r="O32" s="72">
        <v>9428651</v>
      </c>
      <c r="P32" s="71">
        <v>10030657</v>
      </c>
      <c r="Q32" s="71">
        <v>10305141</v>
      </c>
      <c r="R32" s="73">
        <v>9937505</v>
      </c>
      <c r="S32" s="72">
        <v>9917621</v>
      </c>
      <c r="T32" s="71">
        <v>13845259</v>
      </c>
      <c r="U32" s="71">
        <v>14829168</v>
      </c>
      <c r="V32" s="73">
        <v>10147542</v>
      </c>
      <c r="W32" s="72">
        <v>10055094</v>
      </c>
      <c r="X32" s="71">
        <v>10775576</v>
      </c>
      <c r="Y32" s="71">
        <v>11039982</v>
      </c>
      <c r="AJ32" s="14"/>
    </row>
    <row r="33" spans="2:40" ht="14.25" customHeight="1" x14ac:dyDescent="0.35">
      <c r="B33" s="19" t="s">
        <v>53</v>
      </c>
      <c r="C33" s="26">
        <v>11928.149999996182</v>
      </c>
      <c r="D33" s="3">
        <v>62833.71999999648</v>
      </c>
      <c r="E33" s="3">
        <v>40556</v>
      </c>
      <c r="F33" s="29">
        <v>46028.189999996219</v>
      </c>
      <c r="G33" s="26">
        <v>19331.569999992382</v>
      </c>
      <c r="H33" s="3">
        <v>39316.899999992456</v>
      </c>
      <c r="I33" s="3">
        <v>22959.6599999926</v>
      </c>
      <c r="J33" s="29">
        <v>33979.439999992494</v>
      </c>
      <c r="K33" s="26">
        <v>5355.6000000000931</v>
      </c>
      <c r="L33" s="3">
        <v>212984.6</v>
      </c>
      <c r="M33" s="3">
        <v>53600</v>
      </c>
      <c r="N33" s="29">
        <v>436683</v>
      </c>
      <c r="O33" s="72">
        <v>227475</v>
      </c>
      <c r="P33" s="71">
        <v>640622.10000000056</v>
      </c>
      <c r="Q33" s="71">
        <v>593619.22000000067</v>
      </c>
      <c r="R33" s="73">
        <v>1036963</v>
      </c>
      <c r="S33" s="72">
        <v>874635.13000000082</v>
      </c>
      <c r="T33" s="71">
        <v>1845766.26</v>
      </c>
      <c r="U33" s="71">
        <v>1695193</v>
      </c>
      <c r="V33" s="73">
        <v>1520681</v>
      </c>
      <c r="W33" s="72">
        <v>3035729</v>
      </c>
      <c r="X33" s="71">
        <v>5466665.3099999996</v>
      </c>
      <c r="Y33" s="71">
        <v>3163717</v>
      </c>
      <c r="AJ33" s="14"/>
    </row>
    <row r="34" spans="2:40" ht="14.25" customHeight="1" x14ac:dyDescent="0.35">
      <c r="B34" s="19" t="s">
        <v>54</v>
      </c>
      <c r="C34" s="26">
        <v>1476973.9999999993</v>
      </c>
      <c r="D34" s="3">
        <v>1423296</v>
      </c>
      <c r="E34" s="3">
        <v>1378956</v>
      </c>
      <c r="F34" s="29">
        <v>1527295.40005489</v>
      </c>
      <c r="G34" s="26">
        <v>2012856.9999999998</v>
      </c>
      <c r="H34" s="3">
        <v>1803672</v>
      </c>
      <c r="I34" s="3">
        <v>1346420.1263620004</v>
      </c>
      <c r="J34" s="29">
        <v>1540048</v>
      </c>
      <c r="K34" s="26">
        <v>1839693</v>
      </c>
      <c r="L34" s="3">
        <v>2292712</v>
      </c>
      <c r="M34" s="3">
        <v>1117066</v>
      </c>
      <c r="N34" s="29">
        <v>736751</v>
      </c>
      <c r="O34" s="72">
        <v>1490312</v>
      </c>
      <c r="P34" s="71">
        <v>1744368</v>
      </c>
      <c r="Q34" s="71">
        <v>1039005</v>
      </c>
      <c r="R34" s="73">
        <v>633923</v>
      </c>
      <c r="S34" s="72">
        <v>1513272</v>
      </c>
      <c r="T34" s="71">
        <v>2754566</v>
      </c>
      <c r="U34" s="71">
        <v>2145364</v>
      </c>
      <c r="V34" s="73">
        <v>905040</v>
      </c>
      <c r="W34" s="72">
        <v>1533193</v>
      </c>
      <c r="X34" s="71">
        <v>2351645</v>
      </c>
      <c r="Y34" s="71">
        <v>1120014</v>
      </c>
      <c r="AJ34" s="14"/>
    </row>
    <row r="35" spans="2:40" ht="14.25" customHeight="1" thickBot="1" x14ac:dyDescent="0.4">
      <c r="B35" s="135" t="s">
        <v>55</v>
      </c>
      <c r="C35" s="131"/>
      <c r="D35" s="129"/>
      <c r="E35" s="129"/>
      <c r="F35" s="130"/>
      <c r="G35" s="131"/>
      <c r="H35" s="129"/>
      <c r="I35" s="129"/>
      <c r="J35" s="130"/>
      <c r="K35" s="131"/>
      <c r="L35" s="129"/>
      <c r="M35" s="129"/>
      <c r="N35" s="130"/>
      <c r="O35" s="136"/>
      <c r="P35" s="137"/>
      <c r="Q35" s="137"/>
      <c r="R35" s="138"/>
      <c r="S35" s="136">
        <v>0</v>
      </c>
      <c r="T35" s="137">
        <v>0</v>
      </c>
      <c r="U35" s="137"/>
      <c r="V35" s="138"/>
      <c r="W35" s="136"/>
      <c r="X35" s="137"/>
      <c r="Y35" s="137"/>
      <c r="AJ35" s="14"/>
    </row>
    <row r="36" spans="2:40" ht="14.25" customHeight="1" thickBot="1" x14ac:dyDescent="0.4">
      <c r="B36" s="108" t="s">
        <v>61</v>
      </c>
      <c r="C36" s="139">
        <f>C24+C13+C6</f>
        <v>180707340.30997229</v>
      </c>
      <c r="D36" s="140">
        <f t="shared" ref="D36:Y36" si="61">D24+D13+D6</f>
        <v>180566498.66997275</v>
      </c>
      <c r="E36" s="140">
        <f t="shared" si="61"/>
        <v>187564698.01997495</v>
      </c>
      <c r="F36" s="141">
        <f t="shared" si="61"/>
        <v>193278439.74003825</v>
      </c>
      <c r="G36" s="139">
        <f t="shared" si="61"/>
        <v>193485288.94987762</v>
      </c>
      <c r="H36" s="140">
        <f t="shared" si="61"/>
        <v>193594059.73987648</v>
      </c>
      <c r="I36" s="140">
        <f t="shared" si="61"/>
        <v>195437296.66624177</v>
      </c>
      <c r="J36" s="141">
        <f t="shared" si="61"/>
        <v>201536037.03988305</v>
      </c>
      <c r="K36" s="139">
        <f t="shared" si="61"/>
        <v>201529758.79000166</v>
      </c>
      <c r="L36" s="140">
        <f t="shared" si="61"/>
        <v>201072060.79999787</v>
      </c>
      <c r="M36" s="140">
        <f t="shared" si="61"/>
        <v>207521058</v>
      </c>
      <c r="N36" s="141">
        <f t="shared" si="61"/>
        <v>223327159.17000002</v>
      </c>
      <c r="O36" s="142">
        <f t="shared" si="61"/>
        <v>453420943.13999999</v>
      </c>
      <c r="P36" s="143">
        <f t="shared" si="61"/>
        <v>455806607.13999999</v>
      </c>
      <c r="Q36" s="143">
        <f t="shared" si="61"/>
        <v>439108710</v>
      </c>
      <c r="R36" s="144">
        <f t="shared" si="61"/>
        <v>445115902.76000041</v>
      </c>
      <c r="S36" s="142">
        <f t="shared" si="61"/>
        <v>436807274.76000041</v>
      </c>
      <c r="T36" s="143">
        <f t="shared" si="61"/>
        <v>434471680.76000041</v>
      </c>
      <c r="U36" s="143">
        <f t="shared" si="61"/>
        <v>435190397</v>
      </c>
      <c r="V36" s="144">
        <f t="shared" si="61"/>
        <v>419910399.76000041</v>
      </c>
      <c r="W36" s="142">
        <f t="shared" si="61"/>
        <v>413345777.80000043</v>
      </c>
      <c r="X36" s="143">
        <f t="shared" si="61"/>
        <v>406913710.39000046</v>
      </c>
      <c r="Y36" s="143">
        <f t="shared" si="61"/>
        <v>403907938</v>
      </c>
      <c r="AJ36" s="14"/>
    </row>
    <row r="37" spans="2:40" x14ac:dyDescent="0.35">
      <c r="C37" s="52">
        <f>C36-Aktywa!C24</f>
        <v>-0.87767007946968079</v>
      </c>
      <c r="D37" s="52">
        <f>D36-Aktywa!D24</f>
        <v>-0.64766958355903625</v>
      </c>
      <c r="E37" s="52">
        <f>E36-Aktywa!E24</f>
        <v>-0.25766748189926147</v>
      </c>
      <c r="F37" s="52">
        <f>F36-Aktywa!F24</f>
        <v>-0.11760351061820984</v>
      </c>
      <c r="G37" s="52">
        <f>G36-Aktywa!G24</f>
        <v>-0.42777559161186218</v>
      </c>
      <c r="H37" s="52">
        <f>H36-Aktywa!H24</f>
        <v>-0.20777606964111328</v>
      </c>
      <c r="I37" s="52">
        <f>I36-Aktywa!I24</f>
        <v>-0.6114080548286438</v>
      </c>
      <c r="J37" s="52">
        <f>J36-Aktywa!J24</f>
        <v>-0.29777073860168457</v>
      </c>
      <c r="K37" s="52">
        <f>K36-Aktywa!K24</f>
        <v>-1.2099983394145966</v>
      </c>
      <c r="L37" s="52">
        <f>L36-Aktywa!L24</f>
        <v>0.23999786376953125</v>
      </c>
      <c r="M37" s="52">
        <f>M36-Aktywa!M24</f>
        <v>6.9999992847442627E-2</v>
      </c>
      <c r="N37" s="52">
        <f>N36-Aktywa!N24</f>
        <v>0.17000001668930054</v>
      </c>
      <c r="O37" s="52">
        <f>O36-Aktywa!O24</f>
        <v>0.13999998569488525</v>
      </c>
      <c r="P37" s="52">
        <f>P36-Aktywa!P24</f>
        <v>9.9999964237213135E-2</v>
      </c>
      <c r="Q37" s="52">
        <f>Q36-Aktywa!Q24</f>
        <v>0</v>
      </c>
      <c r="R37" s="52">
        <f>R36-Aktywa!R24</f>
        <v>-0.23999959230422974</v>
      </c>
      <c r="S37" s="52">
        <f>S36-Aktywa!S24</f>
        <v>-1.2399995923042297</v>
      </c>
      <c r="T37" s="53">
        <f>T36-Aktywa!T24</f>
        <v>-0.23999959230422974</v>
      </c>
      <c r="U37" s="52">
        <f>U36-Aktywa!U24</f>
        <v>0</v>
      </c>
      <c r="V37" s="52">
        <f>V36-Aktywa!V24</f>
        <v>-0.23999959230422974</v>
      </c>
      <c r="W37" s="52">
        <f>W36-Aktywa!W24</f>
        <v>-0.19999957084655762</v>
      </c>
      <c r="X37" s="52">
        <f>X36-Aktywa!X24</f>
        <v>0.39000046253204346</v>
      </c>
      <c r="Y37" s="52">
        <f>Y36-Aktywa!Y24</f>
        <v>-0.38999998569488525</v>
      </c>
      <c r="AJ37" s="14"/>
    </row>
    <row r="38" spans="2:40" x14ac:dyDescent="0.35">
      <c r="AJ38" s="14"/>
    </row>
    <row r="39" spans="2:40" x14ac:dyDescent="0.35">
      <c r="AJ39" s="14"/>
    </row>
    <row r="40" spans="2:40" x14ac:dyDescent="0.35">
      <c r="AJ40" s="14"/>
    </row>
    <row r="41" spans="2:40" x14ac:dyDescent="0.35">
      <c r="AJ41" s="14"/>
    </row>
    <row r="42" spans="2:40" ht="15" thickBot="1" x14ac:dyDescent="0.4">
      <c r="AJ42" s="14"/>
    </row>
    <row r="43" spans="2:40" x14ac:dyDescent="0.35">
      <c r="C43" s="285">
        <v>2016</v>
      </c>
      <c r="D43" s="286"/>
      <c r="E43" s="286"/>
      <c r="F43" s="287"/>
      <c r="G43" s="285">
        <v>2017</v>
      </c>
      <c r="H43" s="286"/>
      <c r="I43" s="286"/>
      <c r="J43" s="287"/>
      <c r="K43" s="285">
        <v>2018</v>
      </c>
      <c r="L43" s="286"/>
      <c r="M43" s="286"/>
      <c r="N43" s="287"/>
      <c r="O43" s="281">
        <v>2019</v>
      </c>
      <c r="P43" s="282"/>
      <c r="Q43" s="282"/>
      <c r="R43" s="283"/>
      <c r="S43" s="281">
        <v>2020</v>
      </c>
      <c r="T43" s="282"/>
      <c r="U43" s="282"/>
      <c r="V43" s="283"/>
      <c r="W43" s="281">
        <v>2021</v>
      </c>
      <c r="X43" s="282"/>
      <c r="Y43" s="282"/>
      <c r="AB43" s="198">
        <f>AB3</f>
        <v>2020</v>
      </c>
      <c r="AC43" s="199">
        <v>2021</v>
      </c>
      <c r="AD43" s="199">
        <f t="shared" ref="AD43:AE45" si="62">AD3</f>
        <v>2022</v>
      </c>
      <c r="AE43" s="199">
        <f t="shared" si="62"/>
        <v>2022</v>
      </c>
      <c r="AF43" s="199">
        <f t="shared" ref="AF43:AG43" si="63">AF3</f>
        <v>2022</v>
      </c>
      <c r="AG43" s="199">
        <f t="shared" si="63"/>
        <v>2022</v>
      </c>
      <c r="AH43" s="270">
        <f t="shared" ref="AH43:AI43" si="64">AH3</f>
        <v>2023</v>
      </c>
      <c r="AI43" s="270">
        <f t="shared" si="64"/>
        <v>2023</v>
      </c>
      <c r="AJ43" s="270">
        <f t="shared" ref="AJ43:AK43" si="65">AJ3</f>
        <v>2023</v>
      </c>
      <c r="AK43" s="270">
        <f t="shared" si="65"/>
        <v>2023</v>
      </c>
      <c r="AL43" s="270">
        <f t="shared" ref="AL43:AM43" si="66">AL3</f>
        <v>2024</v>
      </c>
      <c r="AM43" s="270">
        <f t="shared" si="66"/>
        <v>2024</v>
      </c>
      <c r="AN43" s="270">
        <f t="shared" ref="AN43" si="67">AN3</f>
        <v>2024</v>
      </c>
    </row>
    <row r="44" spans="2:40" ht="14.25" customHeight="1" x14ac:dyDescent="0.35">
      <c r="B44" t="s">
        <v>158</v>
      </c>
      <c r="C44" s="48" t="s">
        <v>115</v>
      </c>
      <c r="D44" s="16" t="s">
        <v>116</v>
      </c>
      <c r="E44" s="16" t="s">
        <v>117</v>
      </c>
      <c r="F44" s="49" t="s">
        <v>118</v>
      </c>
      <c r="G44" s="48" t="s">
        <v>115</v>
      </c>
      <c r="H44" s="16" t="s">
        <v>116</v>
      </c>
      <c r="I44" s="16" t="s">
        <v>117</v>
      </c>
      <c r="J44" s="49" t="s">
        <v>118</v>
      </c>
      <c r="K44" s="48" t="s">
        <v>115</v>
      </c>
      <c r="L44" s="16" t="s">
        <v>116</v>
      </c>
      <c r="M44" s="16" t="s">
        <v>117</v>
      </c>
      <c r="N44" s="49" t="s">
        <v>118</v>
      </c>
      <c r="O44" s="54" t="s">
        <v>115</v>
      </c>
      <c r="P44" s="55" t="s">
        <v>116</v>
      </c>
      <c r="Q44" s="55" t="s">
        <v>117</v>
      </c>
      <c r="R44" s="56" t="s">
        <v>118</v>
      </c>
      <c r="S44" s="54" t="s">
        <v>115</v>
      </c>
      <c r="T44" s="55" t="s">
        <v>116</v>
      </c>
      <c r="U44" s="55" t="s">
        <v>117</v>
      </c>
      <c r="V44" s="56" t="s">
        <v>118</v>
      </c>
      <c r="W44" s="54" t="s">
        <v>115</v>
      </c>
      <c r="X44" s="55" t="s">
        <v>116</v>
      </c>
      <c r="Y44" s="55" t="s">
        <v>117</v>
      </c>
      <c r="AA44" t="s">
        <v>158</v>
      </c>
      <c r="AB44" s="48" t="str">
        <f>AB4</f>
        <v>4Q</v>
      </c>
      <c r="AC44" s="16" t="str">
        <f>AC4</f>
        <v>4Q</v>
      </c>
      <c r="AD44" s="16" t="str">
        <f t="shared" si="62"/>
        <v>1Q</v>
      </c>
      <c r="AE44" s="16" t="str">
        <f t="shared" si="62"/>
        <v>2Q</v>
      </c>
      <c r="AF44" s="16" t="str">
        <f t="shared" ref="AF44:AG44" si="68">AF4</f>
        <v>3Q</v>
      </c>
      <c r="AG44" s="16" t="str">
        <f t="shared" si="68"/>
        <v>4Q</v>
      </c>
      <c r="AH44" s="55" t="str">
        <f t="shared" ref="AH44:AI44" si="69">AH4</f>
        <v>1Q</v>
      </c>
      <c r="AI44" s="55" t="str">
        <f t="shared" si="69"/>
        <v>2Q</v>
      </c>
      <c r="AJ44" s="55" t="str">
        <f t="shared" ref="AJ44:AK44" si="70">AJ4</f>
        <v>3Q</v>
      </c>
      <c r="AK44" s="55" t="str">
        <f t="shared" si="70"/>
        <v>4Q</v>
      </c>
      <c r="AL44" s="55" t="str">
        <f t="shared" ref="AL44:AM44" si="71">AL4</f>
        <v>1Q</v>
      </c>
      <c r="AM44" s="55" t="str">
        <f t="shared" si="71"/>
        <v>2Q</v>
      </c>
      <c r="AN44" s="55" t="str">
        <f t="shared" ref="AN44" si="72">AN4</f>
        <v>3Q</v>
      </c>
    </row>
    <row r="45" spans="2:40" ht="29.25" customHeight="1" x14ac:dyDescent="0.35">
      <c r="B45" s="76" t="s">
        <v>168</v>
      </c>
      <c r="C45" s="22" t="s">
        <v>129</v>
      </c>
      <c r="D45" s="1" t="s">
        <v>139</v>
      </c>
      <c r="E45" s="1" t="s">
        <v>148</v>
      </c>
      <c r="F45" s="23" t="s">
        <v>128</v>
      </c>
      <c r="G45" s="22" t="s">
        <v>126</v>
      </c>
      <c r="H45" s="1" t="s">
        <v>137</v>
      </c>
      <c r="I45" s="1" t="s">
        <v>147</v>
      </c>
      <c r="J45" s="23" t="s">
        <v>125</v>
      </c>
      <c r="K45" s="22" t="s">
        <v>124</v>
      </c>
      <c r="L45" s="1" t="s">
        <v>135</v>
      </c>
      <c r="M45" s="1" t="s">
        <v>145</v>
      </c>
      <c r="N45" s="23" t="s">
        <v>123</v>
      </c>
      <c r="O45" s="22" t="s">
        <v>121</v>
      </c>
      <c r="P45" s="1" t="s">
        <v>133</v>
      </c>
      <c r="Q45" s="1" t="s">
        <v>154</v>
      </c>
      <c r="R45" s="23" t="s">
        <v>120</v>
      </c>
      <c r="S45" s="22" t="s">
        <v>114</v>
      </c>
      <c r="T45" s="1" t="s">
        <v>132</v>
      </c>
      <c r="U45" s="1" t="s">
        <v>142</v>
      </c>
      <c r="V45" s="23" t="s">
        <v>113</v>
      </c>
      <c r="W45" s="22" t="s">
        <v>112</v>
      </c>
      <c r="X45" s="1" t="s">
        <v>162</v>
      </c>
      <c r="Y45" s="1" t="s">
        <v>165</v>
      </c>
      <c r="AA45" s="76" t="s">
        <v>168</v>
      </c>
      <c r="AB45" s="22" t="str">
        <f>AB5</f>
        <v>stan na 31.12.2020 r.</v>
      </c>
      <c r="AC45" s="1" t="str">
        <f>AC5</f>
        <v>stan na 31.12.2021 r.</v>
      </c>
      <c r="AD45" s="1" t="str">
        <f t="shared" si="62"/>
        <v>stan na 31.03.2022 r.</v>
      </c>
      <c r="AE45" s="1" t="str">
        <f t="shared" si="62"/>
        <v>stan na 30.06.2022 r.</v>
      </c>
      <c r="AF45" s="1" t="str">
        <f t="shared" ref="AF45:AG45" si="73">AF5</f>
        <v>stan na 30.09.2022 r.</v>
      </c>
      <c r="AG45" s="1" t="str">
        <f t="shared" si="73"/>
        <v>stan na 31.12.2022 r.</v>
      </c>
      <c r="AH45" s="1" t="str">
        <f t="shared" ref="AH45:AI45" si="74">AH5</f>
        <v>stan na 31.03.2023 r.</v>
      </c>
      <c r="AI45" s="1" t="str">
        <f t="shared" si="74"/>
        <v>stan na 30.06.2023 r.</v>
      </c>
      <c r="AJ45" s="1" t="str">
        <f t="shared" ref="AJ45:AK45" si="75">AJ5</f>
        <v>stan na 30.09.2023 r.</v>
      </c>
      <c r="AK45" s="1" t="str">
        <f t="shared" si="75"/>
        <v>stan na 31.12.2023 r.</v>
      </c>
      <c r="AL45" s="1" t="str">
        <f t="shared" ref="AL45:AM45" si="76">AL5</f>
        <v>stan na 31.03.2024 r.</v>
      </c>
      <c r="AM45" s="1" t="str">
        <f t="shared" si="76"/>
        <v>stan na 30.06.2024 r.</v>
      </c>
      <c r="AN45" s="1" t="str">
        <f t="shared" ref="AN45" si="77">AN5</f>
        <v>stan na 30.09.2024 r.</v>
      </c>
    </row>
    <row r="46" spans="2:40" s="39" customFormat="1" ht="14.25" customHeight="1" x14ac:dyDescent="0.35">
      <c r="B46" s="152" t="s">
        <v>40</v>
      </c>
      <c r="C46" s="125">
        <f>SUM(C47:C51)</f>
        <v>106803875.86999984</v>
      </c>
      <c r="D46" s="126">
        <f t="shared" ref="D46:Y46" si="78">SUM(D47:D51)</f>
        <v>108418829.39999999</v>
      </c>
      <c r="E46" s="126">
        <f t="shared" si="78"/>
        <v>111842801.78000174</v>
      </c>
      <c r="F46" s="127">
        <f t="shared" si="78"/>
        <v>111428755.09000205</v>
      </c>
      <c r="G46" s="125">
        <f t="shared" si="78"/>
        <v>112051421.28000201</v>
      </c>
      <c r="H46" s="126">
        <f t="shared" si="78"/>
        <v>113828229.07000205</v>
      </c>
      <c r="I46" s="126">
        <f t="shared" si="78"/>
        <v>115037840.63000001</v>
      </c>
      <c r="J46" s="127">
        <f t="shared" si="78"/>
        <v>110295528.95999987</v>
      </c>
      <c r="K46" s="125">
        <f t="shared" si="78"/>
        <v>110717510.26000202</v>
      </c>
      <c r="L46" s="126">
        <f t="shared" si="78"/>
        <v>108494925.83999786</v>
      </c>
      <c r="M46" s="126">
        <f t="shared" si="78"/>
        <v>107600911</v>
      </c>
      <c r="N46" s="127">
        <f t="shared" si="78"/>
        <v>108035901.14</v>
      </c>
      <c r="O46" s="125">
        <f t="shared" si="78"/>
        <v>105897000</v>
      </c>
      <c r="P46" s="126">
        <f t="shared" si="78"/>
        <v>104452000</v>
      </c>
      <c r="Q46" s="126">
        <f t="shared" si="78"/>
        <v>104727143.36</v>
      </c>
      <c r="R46" s="127">
        <f t="shared" si="78"/>
        <v>107901247.26000036</v>
      </c>
      <c r="S46" s="125">
        <f t="shared" si="78"/>
        <v>106833425.55000041</v>
      </c>
      <c r="T46" s="126">
        <f t="shared" si="78"/>
        <v>114158367.53000042</v>
      </c>
      <c r="U46" s="126">
        <f t="shared" si="78"/>
        <v>117342593.9100004</v>
      </c>
      <c r="V46" s="127">
        <f t="shared" si="78"/>
        <v>114357091.37000045</v>
      </c>
      <c r="W46" s="125">
        <f t="shared" si="78"/>
        <v>111373366.41000041</v>
      </c>
      <c r="X46" s="126">
        <f t="shared" si="78"/>
        <v>109335957.21000043</v>
      </c>
      <c r="Y46" s="126">
        <f t="shared" si="78"/>
        <v>111543372.67999998</v>
      </c>
      <c r="AA46" s="152" t="s">
        <v>40</v>
      </c>
      <c r="AB46" s="125">
        <f>SUM(AB47:AB51)</f>
        <v>114357091.37000045</v>
      </c>
      <c r="AC46" s="126">
        <f t="shared" ref="AC46:AF46" si="79">SUM(AC47:AC51)</f>
        <v>189389700.84000039</v>
      </c>
      <c r="AD46" s="126">
        <f t="shared" si="79"/>
        <v>183694647.83000001</v>
      </c>
      <c r="AE46" s="126">
        <f t="shared" si="79"/>
        <v>169754526.14000002</v>
      </c>
      <c r="AF46" s="126">
        <f t="shared" si="79"/>
        <v>165586397.82000005</v>
      </c>
      <c r="AG46" s="126">
        <f t="shared" ref="AG46:AH46" si="80">SUM(AG47:AG51)</f>
        <v>163694085.44</v>
      </c>
      <c r="AH46" s="126">
        <f t="shared" si="80"/>
        <v>154621135.44</v>
      </c>
      <c r="AI46" s="126">
        <f t="shared" ref="AI46:AJ46" si="81">SUM(AI47:AI51)</f>
        <v>156167476.44000003</v>
      </c>
      <c r="AJ46" s="126">
        <f t="shared" si="81"/>
        <v>158894233.09000003</v>
      </c>
      <c r="AK46" s="126">
        <f t="shared" ref="AK46:AL46" si="82">SUM(AK47:AK51)</f>
        <v>156938861.93999401</v>
      </c>
      <c r="AL46" s="126">
        <f t="shared" si="82"/>
        <v>155974619.03000042</v>
      </c>
      <c r="AM46" s="126">
        <f t="shared" ref="AM46:AN46" si="83">SUM(AM47:AM51)</f>
        <v>158343235.02499905</v>
      </c>
      <c r="AN46" s="126">
        <f t="shared" si="83"/>
        <v>166399022.67000005</v>
      </c>
    </row>
    <row r="47" spans="2:40" ht="14.25" customHeight="1" x14ac:dyDescent="0.35">
      <c r="B47" s="19" t="s">
        <v>41</v>
      </c>
      <c r="C47" s="32">
        <f>C7</f>
        <v>23566900</v>
      </c>
      <c r="D47" s="5">
        <f t="shared" ref="D47:N47" si="84">D7</f>
        <v>23566900</v>
      </c>
      <c r="E47" s="5">
        <f t="shared" si="84"/>
        <v>23566900</v>
      </c>
      <c r="F47" s="33">
        <f t="shared" si="84"/>
        <v>23566900</v>
      </c>
      <c r="G47" s="32">
        <f t="shared" si="84"/>
        <v>23566900</v>
      </c>
      <c r="H47" s="5">
        <f t="shared" si="84"/>
        <v>23566900</v>
      </c>
      <c r="I47" s="5">
        <f t="shared" si="84"/>
        <v>23566900</v>
      </c>
      <c r="J47" s="33">
        <f t="shared" si="84"/>
        <v>23566900</v>
      </c>
      <c r="K47" s="32">
        <f t="shared" si="84"/>
        <v>23566900</v>
      </c>
      <c r="L47" s="5">
        <f t="shared" si="84"/>
        <v>23566900</v>
      </c>
      <c r="M47" s="5">
        <f t="shared" si="84"/>
        <v>23566900</v>
      </c>
      <c r="N47" s="33">
        <f t="shared" si="84"/>
        <v>23566900</v>
      </c>
      <c r="O47" s="32">
        <v>23567000</v>
      </c>
      <c r="P47" s="5">
        <v>23567000</v>
      </c>
      <c r="Q47" s="5">
        <v>23567000</v>
      </c>
      <c r="R47" s="33">
        <v>23566900</v>
      </c>
      <c r="S47" s="32">
        <v>23566900</v>
      </c>
      <c r="T47" s="5">
        <v>23566900</v>
      </c>
      <c r="U47" s="5">
        <v>23566900</v>
      </c>
      <c r="V47" s="33">
        <v>23566900</v>
      </c>
      <c r="W47" s="32">
        <v>23566900</v>
      </c>
      <c r="X47" s="5">
        <v>23566900</v>
      </c>
      <c r="Y47" s="5">
        <v>23566900</v>
      </c>
      <c r="AA47" s="19" t="s">
        <v>41</v>
      </c>
      <c r="AB47" s="32">
        <v>23566900</v>
      </c>
      <c r="AC47" s="5">
        <v>28280279</v>
      </c>
      <c r="AD47" s="5">
        <v>28280279</v>
      </c>
      <c r="AE47" s="5">
        <v>28280279</v>
      </c>
      <c r="AF47" s="5">
        <v>28280279</v>
      </c>
      <c r="AG47" s="5">
        <v>28280279</v>
      </c>
      <c r="AH47" s="5">
        <v>28280279</v>
      </c>
      <c r="AI47" s="5">
        <v>28280279</v>
      </c>
      <c r="AJ47" s="5">
        <v>28280279</v>
      </c>
      <c r="AK47" s="5">
        <v>28280279</v>
      </c>
      <c r="AL47" s="5">
        <v>28280279</v>
      </c>
      <c r="AM47" s="5">
        <v>28280279</v>
      </c>
      <c r="AN47" s="5">
        <v>28280279</v>
      </c>
    </row>
    <row r="48" spans="2:40" ht="14.25" customHeight="1" x14ac:dyDescent="0.35">
      <c r="B48" s="19" t="s">
        <v>42</v>
      </c>
      <c r="C48" s="32">
        <f>C8</f>
        <v>24885938.140000001</v>
      </c>
      <c r="D48" s="5">
        <f t="shared" ref="D48:N48" si="85">D8</f>
        <v>24885938.140000001</v>
      </c>
      <c r="E48" s="5">
        <f t="shared" si="85"/>
        <v>26409054.960000001</v>
      </c>
      <c r="F48" s="33">
        <f t="shared" si="85"/>
        <v>24885938.140000001</v>
      </c>
      <c r="G48" s="32">
        <f t="shared" si="85"/>
        <v>24885938.140000001</v>
      </c>
      <c r="H48" s="5">
        <f t="shared" si="85"/>
        <v>24885938.140000001</v>
      </c>
      <c r="I48" s="5">
        <f t="shared" si="85"/>
        <v>24885938</v>
      </c>
      <c r="J48" s="33">
        <f t="shared" si="85"/>
        <v>24885938.140000001</v>
      </c>
      <c r="K48" s="32">
        <f t="shared" si="85"/>
        <v>24885938.140000001</v>
      </c>
      <c r="L48" s="5">
        <f t="shared" si="85"/>
        <v>24885938.140000001</v>
      </c>
      <c r="M48" s="5">
        <f t="shared" si="85"/>
        <v>24885938</v>
      </c>
      <c r="N48" s="33">
        <f t="shared" si="85"/>
        <v>24885938.140000001</v>
      </c>
      <c r="O48" s="32">
        <v>24886000</v>
      </c>
      <c r="P48" s="5">
        <v>24886000</v>
      </c>
      <c r="Q48" s="5">
        <v>24886000</v>
      </c>
      <c r="R48" s="33">
        <v>24885938.140000001</v>
      </c>
      <c r="S48" s="32">
        <v>24885938.140000001</v>
      </c>
      <c r="T48" s="5">
        <v>24885938.140000001</v>
      </c>
      <c r="U48" s="5">
        <v>24885938.140000001</v>
      </c>
      <c r="V48" s="33">
        <v>24885938.140000001</v>
      </c>
      <c r="W48" s="32">
        <v>24885938.140000001</v>
      </c>
      <c r="X48" s="5">
        <v>24885938.140000001</v>
      </c>
      <c r="Y48" s="5">
        <v>24885938.140000001</v>
      </c>
      <c r="AA48" s="19" t="s">
        <v>42</v>
      </c>
      <c r="AB48" s="32">
        <v>24885938.140000001</v>
      </c>
      <c r="AC48" s="5">
        <v>98915319</v>
      </c>
      <c r="AD48" s="5">
        <v>98915318.980000004</v>
      </c>
      <c r="AE48" s="5">
        <v>98915319</v>
      </c>
      <c r="AF48" s="5">
        <v>98915318.980000004</v>
      </c>
      <c r="AG48" s="5">
        <v>98915319</v>
      </c>
      <c r="AH48" s="5">
        <v>98915318.980000004</v>
      </c>
      <c r="AI48" s="5">
        <v>98915319</v>
      </c>
      <c r="AJ48" s="5">
        <v>98915319</v>
      </c>
      <c r="AK48" s="5">
        <v>98915319</v>
      </c>
      <c r="AL48" s="5">
        <v>98915318.980000004</v>
      </c>
      <c r="AM48" s="5">
        <v>98915319</v>
      </c>
      <c r="AN48" s="5">
        <v>98915319</v>
      </c>
    </row>
    <row r="49" spans="2:40" ht="14.25" customHeight="1" x14ac:dyDescent="0.35">
      <c r="B49" s="19" t="s">
        <v>44</v>
      </c>
      <c r="C49" s="26">
        <f>C9+C10</f>
        <v>44665204.799999997</v>
      </c>
      <c r="D49" s="3">
        <f t="shared" ref="D49:N49" si="86">D9+D10</f>
        <v>46188321.619999997</v>
      </c>
      <c r="E49" s="3">
        <f t="shared" si="86"/>
        <v>44665204.799999997</v>
      </c>
      <c r="F49" s="29">
        <f t="shared" si="86"/>
        <v>46188321.820000038</v>
      </c>
      <c r="G49" s="26">
        <f t="shared" si="86"/>
        <v>46188321.820000038</v>
      </c>
      <c r="H49" s="3">
        <f t="shared" si="86"/>
        <v>50555799.100001998</v>
      </c>
      <c r="I49" s="3">
        <f t="shared" si="86"/>
        <v>50555798.799999997</v>
      </c>
      <c r="J49" s="29">
        <f t="shared" si="86"/>
        <v>50555799.120002009</v>
      </c>
      <c r="K49" s="26">
        <f t="shared" si="86"/>
        <v>50555799.120002009</v>
      </c>
      <c r="L49" s="3">
        <f t="shared" si="86"/>
        <v>50555799</v>
      </c>
      <c r="M49" s="3">
        <f t="shared" si="86"/>
        <v>47799880</v>
      </c>
      <c r="N49" s="29">
        <f t="shared" si="86"/>
        <v>47799879</v>
      </c>
      <c r="O49" s="26">
        <v>47800000</v>
      </c>
      <c r="P49" s="3">
        <v>47800000</v>
      </c>
      <c r="Q49" s="3">
        <v>47800000</v>
      </c>
      <c r="R49" s="29">
        <v>47799878.6200004</v>
      </c>
      <c r="S49" s="26">
        <v>47799878.6200004</v>
      </c>
      <c r="T49" s="3">
        <v>47799878.6200004</v>
      </c>
      <c r="U49" s="3">
        <v>47799878.6200004</v>
      </c>
      <c r="V49" s="29">
        <v>47799878.6200004</v>
      </c>
      <c r="W49" s="26">
        <v>47799878.6200004</v>
      </c>
      <c r="X49" s="3">
        <v>47799878.6200004</v>
      </c>
      <c r="Y49" s="3">
        <v>47799879</v>
      </c>
      <c r="AA49" s="19" t="s">
        <v>44</v>
      </c>
      <c r="AB49" s="26">
        <v>47799878.6200004</v>
      </c>
      <c r="AC49" s="3">
        <v>47799878.6200004</v>
      </c>
      <c r="AD49" s="3">
        <v>-2755921</v>
      </c>
      <c r="AE49" s="3">
        <v>-2755921</v>
      </c>
      <c r="AF49" s="3">
        <v>-2755921</v>
      </c>
      <c r="AG49" s="3">
        <v>-2755921</v>
      </c>
      <c r="AH49" s="3">
        <v>-2755921</v>
      </c>
      <c r="AI49" s="3">
        <v>-2755921</v>
      </c>
      <c r="AJ49" s="3">
        <v>-2755921</v>
      </c>
      <c r="AK49" s="3">
        <v>-2836621</v>
      </c>
      <c r="AL49" s="3">
        <v>-2836622.3799996004</v>
      </c>
      <c r="AM49" s="5">
        <v>-2836621.8799979985</v>
      </c>
      <c r="AN49" s="5">
        <v>-2667359</v>
      </c>
    </row>
    <row r="50" spans="2:40" ht="14.25" customHeight="1" x14ac:dyDescent="0.35">
      <c r="B50" s="19" t="s">
        <v>45</v>
      </c>
      <c r="C50" s="26">
        <f>C11</f>
        <v>13943234.65</v>
      </c>
      <c r="D50" s="3">
        <f t="shared" ref="D50:N50" si="87">D11</f>
        <v>12420117.83</v>
      </c>
      <c r="E50" s="3">
        <f t="shared" si="87"/>
        <v>12420117.83</v>
      </c>
      <c r="F50" s="29">
        <f t="shared" si="87"/>
        <v>12420117.830000043</v>
      </c>
      <c r="G50" s="26">
        <f t="shared" si="87"/>
        <v>16787595.130002014</v>
      </c>
      <c r="H50" s="3">
        <f t="shared" si="87"/>
        <v>12420117.830000043</v>
      </c>
      <c r="I50" s="3">
        <f t="shared" si="87"/>
        <v>12420117.83</v>
      </c>
      <c r="J50" s="29">
        <f t="shared" si="87"/>
        <v>12420117.830000043</v>
      </c>
      <c r="K50" s="26">
        <f t="shared" si="87"/>
        <v>11286892</v>
      </c>
      <c r="L50" s="3">
        <f t="shared" si="87"/>
        <v>11286891.699997853</v>
      </c>
      <c r="M50" s="3">
        <f t="shared" si="87"/>
        <v>11286892</v>
      </c>
      <c r="N50" s="29">
        <f t="shared" si="87"/>
        <v>11286892</v>
      </c>
      <c r="O50" s="26">
        <v>11783000</v>
      </c>
      <c r="P50" s="3">
        <v>11783000</v>
      </c>
      <c r="Q50" s="3">
        <v>11783000</v>
      </c>
      <c r="R50" s="29">
        <v>11783184</v>
      </c>
      <c r="S50" s="26">
        <v>11648528</v>
      </c>
      <c r="T50" s="3">
        <v>11648528</v>
      </c>
      <c r="U50" s="3">
        <v>11648528</v>
      </c>
      <c r="V50" s="29">
        <v>11648528</v>
      </c>
      <c r="W50" s="26">
        <v>18104375.609999999</v>
      </c>
      <c r="X50" s="3">
        <v>18104375.609999999</v>
      </c>
      <c r="Y50" s="3">
        <v>18104375.609999999</v>
      </c>
      <c r="AA50" s="19" t="s">
        <v>45</v>
      </c>
      <c r="AB50" s="26">
        <v>11648528</v>
      </c>
      <c r="AC50" s="3">
        <v>18104375.609999999</v>
      </c>
      <c r="AD50" s="3">
        <v>64950023.609999999</v>
      </c>
      <c r="AE50" s="3">
        <v>64950023.609999999</v>
      </c>
      <c r="AF50" s="3">
        <v>64950023.609999999</v>
      </c>
      <c r="AG50" s="3">
        <v>63639685.609999999</v>
      </c>
      <c r="AH50" s="3">
        <v>39254408.609999999</v>
      </c>
      <c r="AI50" s="3">
        <v>39254408.609999999</v>
      </c>
      <c r="AJ50" s="3">
        <v>39254408.609999999</v>
      </c>
      <c r="AK50" s="3">
        <v>39254408.609999999</v>
      </c>
      <c r="AL50" s="3">
        <v>32579885.280000001</v>
      </c>
      <c r="AM50" s="5">
        <v>32579885.280000001</v>
      </c>
      <c r="AN50" s="5">
        <v>32579885</v>
      </c>
    </row>
    <row r="51" spans="2:40" ht="14.25" customHeight="1" x14ac:dyDescent="0.35">
      <c r="B51" s="19" t="s">
        <v>46</v>
      </c>
      <c r="C51" s="32">
        <f>C12</f>
        <v>-257401.72000015719</v>
      </c>
      <c r="D51" s="5">
        <f t="shared" ref="D51:N51" si="88">D12</f>
        <v>1357551.8100000024</v>
      </c>
      <c r="E51" s="5">
        <f t="shared" si="88"/>
        <v>4781524.1900017606</v>
      </c>
      <c r="F51" s="33">
        <f t="shared" si="88"/>
        <v>4367477.3000019696</v>
      </c>
      <c r="G51" s="32">
        <f t="shared" si="88"/>
        <v>622666.1899999571</v>
      </c>
      <c r="H51" s="5">
        <f t="shared" si="88"/>
        <v>2399474</v>
      </c>
      <c r="I51" s="5">
        <f t="shared" si="88"/>
        <v>3609086.0000000093</v>
      </c>
      <c r="J51" s="33">
        <f t="shared" si="88"/>
        <v>-1133226.1300021885</v>
      </c>
      <c r="K51" s="32">
        <f t="shared" si="88"/>
        <v>421981</v>
      </c>
      <c r="L51" s="5">
        <f t="shared" si="88"/>
        <v>-1800603</v>
      </c>
      <c r="M51" s="5">
        <f t="shared" si="88"/>
        <v>61301</v>
      </c>
      <c r="N51" s="33">
        <f t="shared" si="88"/>
        <v>496291.99999999907</v>
      </c>
      <c r="O51" s="32">
        <v>-2139000</v>
      </c>
      <c r="P51" s="5">
        <v>-3584000</v>
      </c>
      <c r="Q51" s="5">
        <v>-3308856.64</v>
      </c>
      <c r="R51" s="33">
        <v>-134653.50000004843</v>
      </c>
      <c r="S51" s="32">
        <v>-1067819.2099999879</v>
      </c>
      <c r="T51" s="5">
        <v>6257122.770000007</v>
      </c>
      <c r="U51" s="5">
        <v>9441349.1499999911</v>
      </c>
      <c r="V51" s="33">
        <v>6455846.610000046</v>
      </c>
      <c r="W51" s="32">
        <v>-2983725.9599999972</v>
      </c>
      <c r="X51" s="5">
        <v>-5021135.1599999759</v>
      </c>
      <c r="Y51" s="5">
        <v>-2813720.0700000152</v>
      </c>
      <c r="AA51" s="19" t="s">
        <v>46</v>
      </c>
      <c r="AB51" s="32">
        <v>6455846.610000046</v>
      </c>
      <c r="AC51" s="5">
        <v>-3710151.389999988</v>
      </c>
      <c r="AD51" s="5">
        <v>-5695052.7599999979</v>
      </c>
      <c r="AE51" s="5">
        <v>-19635174.469999988</v>
      </c>
      <c r="AF51" s="5">
        <v>-23803302.769999951</v>
      </c>
      <c r="AG51" s="5">
        <v>-24385277.170000013</v>
      </c>
      <c r="AH51" s="5">
        <v>-9072950.1500000041</v>
      </c>
      <c r="AI51" s="5">
        <v>-7526609.169999985</v>
      </c>
      <c r="AJ51" s="5">
        <v>-4799852.5199999865</v>
      </c>
      <c r="AK51" s="5">
        <v>-6674523.6700060172</v>
      </c>
      <c r="AL51" s="5">
        <v>-964241.85000000731</v>
      </c>
      <c r="AM51" s="5">
        <v>1404373.6249970431</v>
      </c>
      <c r="AN51" s="5">
        <v>9290898.6700000428</v>
      </c>
    </row>
    <row r="52" spans="2:40" s="39" customFormat="1" ht="14.25" customHeight="1" x14ac:dyDescent="0.35">
      <c r="B52" s="120" t="s">
        <v>47</v>
      </c>
      <c r="C52" s="112">
        <f>SUM(C56:C60)+C53</f>
        <v>15958982.77</v>
      </c>
      <c r="D52" s="110">
        <f t="shared" ref="D52:Y52" si="89">SUM(D56:D60)+D53</f>
        <v>20090530.300000001</v>
      </c>
      <c r="E52" s="110">
        <f t="shared" si="89"/>
        <v>21552046.119999997</v>
      </c>
      <c r="F52" s="113">
        <f t="shared" si="89"/>
        <v>20192085.870000001</v>
      </c>
      <c r="G52" s="112">
        <f t="shared" si="89"/>
        <v>24609971.509999998</v>
      </c>
      <c r="H52" s="110">
        <f t="shared" si="89"/>
        <v>22659346.600000001</v>
      </c>
      <c r="I52" s="110">
        <f t="shared" si="89"/>
        <v>30384232.869999997</v>
      </c>
      <c r="J52" s="113">
        <f t="shared" si="89"/>
        <v>28214347.820000004</v>
      </c>
      <c r="K52" s="112">
        <f t="shared" si="89"/>
        <v>26854197.399999999</v>
      </c>
      <c r="L52" s="110">
        <f t="shared" si="89"/>
        <v>23909061.800000001</v>
      </c>
      <c r="M52" s="110">
        <f t="shared" si="89"/>
        <v>29354652</v>
      </c>
      <c r="N52" s="113">
        <f t="shared" si="89"/>
        <v>28452292</v>
      </c>
      <c r="O52" s="112">
        <f t="shared" si="89"/>
        <v>27212000</v>
      </c>
      <c r="P52" s="110">
        <f t="shared" si="89"/>
        <v>32468000</v>
      </c>
      <c r="Q52" s="110">
        <f t="shared" si="89"/>
        <v>29836000</v>
      </c>
      <c r="R52" s="113">
        <f t="shared" si="89"/>
        <v>27856693</v>
      </c>
      <c r="S52" s="112">
        <f t="shared" si="89"/>
        <v>25426183.079999998</v>
      </c>
      <c r="T52" s="110">
        <f t="shared" si="89"/>
        <v>22787873.740000002</v>
      </c>
      <c r="U52" s="110">
        <f t="shared" si="89"/>
        <v>23787162</v>
      </c>
      <c r="V52" s="113">
        <f t="shared" si="89"/>
        <v>21055816</v>
      </c>
      <c r="W52" s="112">
        <f t="shared" si="89"/>
        <v>18917001</v>
      </c>
      <c r="X52" s="110">
        <f t="shared" si="89"/>
        <v>13612530</v>
      </c>
      <c r="Y52" s="110">
        <f t="shared" si="89"/>
        <v>13371969</v>
      </c>
      <c r="AA52" s="120" t="s">
        <v>47</v>
      </c>
      <c r="AB52" s="112">
        <f>SUM(AB56:AB60)+AB53</f>
        <v>21055816</v>
      </c>
      <c r="AC52" s="110">
        <f t="shared" ref="AC52:AF52" si="90">SUM(AC56:AC60)+AC53</f>
        <v>13637573</v>
      </c>
      <c r="AD52" s="110">
        <f t="shared" si="90"/>
        <v>12134228</v>
      </c>
      <c r="AE52" s="110">
        <f t="shared" si="90"/>
        <v>11296819</v>
      </c>
      <c r="AF52" s="110">
        <f t="shared" si="90"/>
        <v>11860275</v>
      </c>
      <c r="AG52" s="110">
        <f t="shared" ref="AG52:AH52" si="91">SUM(AG56:AG60)+AG53</f>
        <v>10385434</v>
      </c>
      <c r="AH52" s="110">
        <f t="shared" si="91"/>
        <v>9880426</v>
      </c>
      <c r="AI52" s="110">
        <f t="shared" ref="AI52:AJ52" si="92">SUM(AI56:AI60)+AI53</f>
        <v>8242274</v>
      </c>
      <c r="AJ52" s="110">
        <f t="shared" si="92"/>
        <v>8266759.7200000007</v>
      </c>
      <c r="AK52" s="110">
        <f t="shared" ref="AK52:AL52" si="93">SUM(AK56:AK60)+AK53</f>
        <v>5690822</v>
      </c>
      <c r="AL52" s="110">
        <f t="shared" si="93"/>
        <v>9022633.9699999988</v>
      </c>
      <c r="AM52" s="110">
        <f t="shared" ref="AM52:AN52" si="94">SUM(AM56:AM60)+AM53</f>
        <v>13875726.054999869</v>
      </c>
      <c r="AN52" s="110">
        <f t="shared" si="94"/>
        <v>20162594</v>
      </c>
    </row>
    <row r="53" spans="2:40" ht="14.25" customHeight="1" x14ac:dyDescent="0.35">
      <c r="B53" s="153" t="s">
        <v>48</v>
      </c>
      <c r="C53" s="32">
        <f>C14</f>
        <v>8990194.6199999992</v>
      </c>
      <c r="D53" s="5">
        <f t="shared" ref="D53:N53" si="95">D14</f>
        <v>12940262.49</v>
      </c>
      <c r="E53" s="5">
        <f t="shared" si="95"/>
        <v>14518721.529999999</v>
      </c>
      <c r="F53" s="33">
        <f t="shared" si="95"/>
        <v>13047398.59</v>
      </c>
      <c r="G53" s="32">
        <f t="shared" si="95"/>
        <v>17513230.139999997</v>
      </c>
      <c r="H53" s="5">
        <f t="shared" si="95"/>
        <v>15972759.580000002</v>
      </c>
      <c r="I53" s="5">
        <f t="shared" si="95"/>
        <v>23964529.659999996</v>
      </c>
      <c r="J53" s="33">
        <f t="shared" si="95"/>
        <v>21515714.950000003</v>
      </c>
      <c r="K53" s="32">
        <f t="shared" si="95"/>
        <v>18620514</v>
      </c>
      <c r="L53" s="5">
        <f t="shared" si="95"/>
        <v>15958722</v>
      </c>
      <c r="M53" s="5">
        <f t="shared" si="95"/>
        <v>21829213</v>
      </c>
      <c r="N53" s="33">
        <f t="shared" si="95"/>
        <v>20425249</v>
      </c>
      <c r="O53" s="32">
        <v>18416000</v>
      </c>
      <c r="P53" s="5">
        <v>22597000</v>
      </c>
      <c r="Q53" s="5">
        <v>20177000</v>
      </c>
      <c r="R53" s="33">
        <v>17572804</v>
      </c>
      <c r="S53" s="32">
        <v>14836314</v>
      </c>
      <c r="T53" s="5">
        <v>12054156</v>
      </c>
      <c r="U53" s="5">
        <v>13404969</v>
      </c>
      <c r="V53" s="33">
        <v>11040669</v>
      </c>
      <c r="W53" s="32">
        <v>8538901</v>
      </c>
      <c r="X53" s="5">
        <v>6361936</v>
      </c>
      <c r="Y53" s="5">
        <v>4094359</v>
      </c>
      <c r="AA53" s="153" t="s">
        <v>48</v>
      </c>
      <c r="AB53" s="32">
        <v>11040669</v>
      </c>
      <c r="AC53" s="5">
        <v>4128793</v>
      </c>
      <c r="AD53" s="5">
        <v>3001942</v>
      </c>
      <c r="AE53" s="5">
        <v>2158731</v>
      </c>
      <c r="AF53" s="5">
        <v>1656284</v>
      </c>
      <c r="AG53" s="5">
        <v>1308563</v>
      </c>
      <c r="AH53" s="5">
        <v>1016691</v>
      </c>
      <c r="AI53" s="5">
        <v>674198</v>
      </c>
      <c r="AJ53" s="5">
        <v>718709</v>
      </c>
      <c r="AK53" s="5">
        <v>333753</v>
      </c>
      <c r="AL53" s="5">
        <v>4137113</v>
      </c>
      <c r="AM53" s="5">
        <v>8670550.5500000007</v>
      </c>
      <c r="AN53" s="5">
        <v>8176343</v>
      </c>
    </row>
    <row r="54" spans="2:40" s="105" customFormat="1" ht="14.25" customHeight="1" x14ac:dyDescent="0.35">
      <c r="B54" s="128" t="s">
        <v>173</v>
      </c>
      <c r="C54" s="99" t="str">
        <f t="shared" ref="C54:J54" si="96">C15</f>
        <v>-</v>
      </c>
      <c r="D54" s="100" t="str">
        <f t="shared" si="96"/>
        <v>-</v>
      </c>
      <c r="E54" s="100" t="str">
        <f t="shared" si="96"/>
        <v>-</v>
      </c>
      <c r="F54" s="101" t="str">
        <f t="shared" si="96"/>
        <v>-</v>
      </c>
      <c r="G54" s="99" t="str">
        <f t="shared" si="96"/>
        <v>-</v>
      </c>
      <c r="H54" s="100" t="str">
        <f t="shared" si="96"/>
        <v>-</v>
      </c>
      <c r="I54" s="100" t="str">
        <f t="shared" si="96"/>
        <v>-</v>
      </c>
      <c r="J54" s="101" t="str">
        <f t="shared" si="96"/>
        <v>-</v>
      </c>
      <c r="K54" s="99">
        <f t="shared" ref="K54" si="97">K15</f>
        <v>0</v>
      </c>
      <c r="L54" s="100" t="str">
        <f t="shared" ref="L54:N54" si="98">L15</f>
        <v>-</v>
      </c>
      <c r="M54" s="100" t="str">
        <f t="shared" si="98"/>
        <v>-</v>
      </c>
      <c r="N54" s="101">
        <f t="shared" si="98"/>
        <v>0</v>
      </c>
      <c r="O54" s="99"/>
      <c r="P54" s="100"/>
      <c r="Q54" s="100"/>
      <c r="R54" s="101"/>
      <c r="S54" s="99"/>
      <c r="T54" s="100"/>
      <c r="U54" s="100"/>
      <c r="V54" s="101"/>
      <c r="W54" s="99"/>
      <c r="X54" s="100"/>
      <c r="Y54" s="100"/>
      <c r="AA54" s="128"/>
      <c r="AB54" s="32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>
        <v>0</v>
      </c>
      <c r="AN54" s="5">
        <v>0</v>
      </c>
    </row>
    <row r="55" spans="2:40" s="105" customFormat="1" ht="14.25" customHeight="1" x14ac:dyDescent="0.35">
      <c r="B55" s="98" t="s">
        <v>174</v>
      </c>
      <c r="C55" s="99" t="str">
        <f t="shared" ref="C55:J55" si="99">C16</f>
        <v>-</v>
      </c>
      <c r="D55" s="100" t="str">
        <f t="shared" si="99"/>
        <v>-</v>
      </c>
      <c r="E55" s="100" t="str">
        <f t="shared" si="99"/>
        <v>-</v>
      </c>
      <c r="F55" s="101" t="str">
        <f t="shared" si="99"/>
        <v>-</v>
      </c>
      <c r="G55" s="99" t="str">
        <f t="shared" si="99"/>
        <v>-</v>
      </c>
      <c r="H55" s="100" t="str">
        <f t="shared" si="99"/>
        <v>-</v>
      </c>
      <c r="I55" s="100" t="str">
        <f t="shared" si="99"/>
        <v>-</v>
      </c>
      <c r="J55" s="101" t="str">
        <f t="shared" si="99"/>
        <v>-</v>
      </c>
      <c r="K55" s="99">
        <f t="shared" ref="K55" si="100">K16</f>
        <v>18620514</v>
      </c>
      <c r="L55" s="100" t="str">
        <f t="shared" ref="L55:N55" si="101">L16</f>
        <v>-</v>
      </c>
      <c r="M55" s="100" t="str">
        <f t="shared" si="101"/>
        <v>-</v>
      </c>
      <c r="N55" s="101">
        <f t="shared" si="101"/>
        <v>20425249</v>
      </c>
      <c r="O55" s="99">
        <v>18416000</v>
      </c>
      <c r="P55" s="100">
        <v>22597000</v>
      </c>
      <c r="Q55" s="100">
        <v>20177000</v>
      </c>
      <c r="R55" s="101">
        <v>17572804</v>
      </c>
      <c r="S55" s="99">
        <v>14836314</v>
      </c>
      <c r="T55" s="100">
        <v>12054156</v>
      </c>
      <c r="U55" s="100">
        <v>13404969</v>
      </c>
      <c r="V55" s="101">
        <v>11040669</v>
      </c>
      <c r="W55" s="99">
        <v>8538901</v>
      </c>
      <c r="X55" s="100">
        <v>6361936</v>
      </c>
      <c r="Y55" s="100">
        <v>4094359</v>
      </c>
      <c r="AA55" s="98" t="s">
        <v>174</v>
      </c>
      <c r="AB55" s="32">
        <v>11040669</v>
      </c>
      <c r="AC55" s="5">
        <v>4128793</v>
      </c>
      <c r="AD55" s="5">
        <v>3001942</v>
      </c>
      <c r="AE55" s="5">
        <v>2158731</v>
      </c>
      <c r="AF55" s="5">
        <v>1656284</v>
      </c>
      <c r="AG55" s="5">
        <v>1308563</v>
      </c>
      <c r="AH55" s="5">
        <v>1016691</v>
      </c>
      <c r="AI55" s="5">
        <v>674198</v>
      </c>
      <c r="AJ55" s="5">
        <v>718709</v>
      </c>
      <c r="AK55" s="5">
        <v>333753</v>
      </c>
      <c r="AL55" s="5">
        <v>4137113</v>
      </c>
      <c r="AM55" s="5">
        <v>8670550.5500000007</v>
      </c>
      <c r="AN55" s="5">
        <v>8176343</v>
      </c>
    </row>
    <row r="56" spans="2:40" ht="14.25" customHeight="1" x14ac:dyDescent="0.35">
      <c r="B56" s="46" t="s">
        <v>175</v>
      </c>
      <c r="C56" s="32">
        <f>C17+C18</f>
        <v>1368043.2699999998</v>
      </c>
      <c r="D56" s="5">
        <f t="shared" ref="D56:N56" si="102">D17+D18</f>
        <v>1131272.9299999997</v>
      </c>
      <c r="E56" s="5">
        <f t="shared" si="102"/>
        <v>898269.7099999995</v>
      </c>
      <c r="F56" s="33">
        <f t="shared" si="102"/>
        <v>762326.9</v>
      </c>
      <c r="G56" s="32">
        <f t="shared" si="102"/>
        <v>665730.99000000011</v>
      </c>
      <c r="H56" s="5">
        <f t="shared" si="102"/>
        <v>567185.64000000025</v>
      </c>
      <c r="I56" s="5">
        <f t="shared" si="102"/>
        <v>466540.76</v>
      </c>
      <c r="J56" s="33">
        <f t="shared" si="102"/>
        <v>612644.87000000023</v>
      </c>
      <c r="K56" s="32">
        <f t="shared" si="102"/>
        <v>533640</v>
      </c>
      <c r="L56" s="5">
        <f t="shared" si="102"/>
        <v>458065</v>
      </c>
      <c r="M56" s="5">
        <f t="shared" si="102"/>
        <v>411752</v>
      </c>
      <c r="N56" s="33">
        <f t="shared" si="102"/>
        <v>517478</v>
      </c>
      <c r="O56" s="32">
        <v>374000</v>
      </c>
      <c r="P56" s="5">
        <v>320000</v>
      </c>
      <c r="Q56" s="5">
        <v>263000</v>
      </c>
      <c r="R56" s="33"/>
      <c r="S56" s="32">
        <v>142870.21000000022</v>
      </c>
      <c r="T56" s="5">
        <v>153992</v>
      </c>
      <c r="U56" s="5">
        <v>140467</v>
      </c>
      <c r="V56" s="33">
        <v>126807</v>
      </c>
      <c r="W56" s="32">
        <v>126807</v>
      </c>
      <c r="X56" s="5">
        <v>368577</v>
      </c>
      <c r="Y56" s="5">
        <v>247686</v>
      </c>
      <c r="AA56" s="46" t="s">
        <v>175</v>
      </c>
      <c r="AB56" s="32">
        <v>126807</v>
      </c>
      <c r="AC56" s="5">
        <v>126807</v>
      </c>
      <c r="AD56" s="5">
        <v>602182</v>
      </c>
      <c r="AE56" s="5">
        <v>560216</v>
      </c>
      <c r="AF56" s="5">
        <v>247686</v>
      </c>
      <c r="AG56" s="5">
        <v>519320</v>
      </c>
      <c r="AH56" s="5">
        <v>496857</v>
      </c>
      <c r="AI56" s="5">
        <v>473903</v>
      </c>
      <c r="AJ56" s="5">
        <v>450330</v>
      </c>
      <c r="AK56" s="5">
        <v>425560</v>
      </c>
      <c r="AL56" s="5">
        <v>400757.49</v>
      </c>
      <c r="AM56" s="5">
        <v>581348.81000000006</v>
      </c>
      <c r="AN56" s="5">
        <v>6462319</v>
      </c>
    </row>
    <row r="57" spans="2:40" ht="14.25" customHeight="1" x14ac:dyDescent="0.35">
      <c r="B57" s="19" t="s">
        <v>51</v>
      </c>
      <c r="C57" s="32">
        <f>C19+C23</f>
        <v>22201.879999999994</v>
      </c>
      <c r="D57" s="5">
        <f t="shared" ref="D57:N57" si="103">D19+D23</f>
        <v>22201.879999999994</v>
      </c>
      <c r="E57" s="5">
        <f t="shared" si="103"/>
        <v>22201.879999999994</v>
      </c>
      <c r="F57" s="33">
        <f t="shared" si="103"/>
        <v>21791.599999999999</v>
      </c>
      <c r="G57" s="32">
        <f t="shared" si="103"/>
        <v>21791.599999999999</v>
      </c>
      <c r="H57" s="5">
        <f t="shared" si="103"/>
        <v>21791.599999999999</v>
      </c>
      <c r="I57" s="5">
        <f t="shared" si="103"/>
        <v>6551.6699999999973</v>
      </c>
      <c r="J57" s="33">
        <f t="shared" si="103"/>
        <v>0</v>
      </c>
      <c r="K57" s="32">
        <f t="shared" si="103"/>
        <v>0</v>
      </c>
      <c r="L57" s="5">
        <f t="shared" si="103"/>
        <v>0</v>
      </c>
      <c r="M57" s="5">
        <f t="shared" si="103"/>
        <v>0</v>
      </c>
      <c r="N57" s="33">
        <f t="shared" si="103"/>
        <v>0</v>
      </c>
      <c r="O57" s="32"/>
      <c r="P57" s="5"/>
      <c r="Q57" s="5"/>
      <c r="R57" s="33"/>
      <c r="S57" s="32"/>
      <c r="T57" s="5"/>
      <c r="U57" s="5"/>
      <c r="V57" s="33"/>
      <c r="W57" s="32"/>
      <c r="X57" s="5"/>
      <c r="Y57" s="5"/>
      <c r="AA57" s="19"/>
      <c r="AB57" s="32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>
        <v>0</v>
      </c>
      <c r="AN57" s="5">
        <v>0</v>
      </c>
    </row>
    <row r="58" spans="2:40" ht="14.25" customHeight="1" x14ac:dyDescent="0.35">
      <c r="B58" s="19" t="s">
        <v>52</v>
      </c>
      <c r="C58" s="32">
        <f>C20</f>
        <v>5264465</v>
      </c>
      <c r="D58" s="5">
        <f t="shared" ref="D58:N58" si="104">D20</f>
        <v>5682715</v>
      </c>
      <c r="E58" s="5">
        <f t="shared" si="104"/>
        <v>5798775</v>
      </c>
      <c r="F58" s="33">
        <f t="shared" si="104"/>
        <v>5949090</v>
      </c>
      <c r="G58" s="32">
        <f t="shared" si="104"/>
        <v>5997740</v>
      </c>
      <c r="H58" s="5">
        <f t="shared" si="104"/>
        <v>5686131</v>
      </c>
      <c r="I58" s="5">
        <f t="shared" si="104"/>
        <v>5535132</v>
      </c>
      <c r="J58" s="33">
        <f t="shared" si="104"/>
        <v>5558528</v>
      </c>
      <c r="K58" s="32">
        <f t="shared" si="104"/>
        <v>4721823</v>
      </c>
      <c r="L58" s="5">
        <f t="shared" si="104"/>
        <v>4693221</v>
      </c>
      <c r="M58" s="5">
        <f t="shared" si="104"/>
        <v>3995467</v>
      </c>
      <c r="N58" s="33">
        <f t="shared" si="104"/>
        <v>4740284</v>
      </c>
      <c r="O58" s="32">
        <v>4109000</v>
      </c>
      <c r="P58" s="5">
        <v>3925000</v>
      </c>
      <c r="Q58" s="3">
        <v>3914000</v>
      </c>
      <c r="R58" s="33">
        <v>4774130</v>
      </c>
      <c r="S58" s="26">
        <v>4222167</v>
      </c>
      <c r="T58" s="5">
        <v>4523448</v>
      </c>
      <c r="U58" s="5">
        <v>4354002</v>
      </c>
      <c r="V58" s="29">
        <v>4451301</v>
      </c>
      <c r="W58" s="26">
        <v>4069261</v>
      </c>
      <c r="X58" s="3">
        <v>3609840</v>
      </c>
      <c r="Y58" s="3">
        <v>3236227</v>
      </c>
      <c r="AA58" s="19" t="s">
        <v>52</v>
      </c>
      <c r="AB58" s="32">
        <v>4451301</v>
      </c>
      <c r="AC58" s="5">
        <v>3878417</v>
      </c>
      <c r="AD58" s="5">
        <v>3220715</v>
      </c>
      <c r="AE58" s="5">
        <v>3462651</v>
      </c>
      <c r="AF58" s="5">
        <v>5035252</v>
      </c>
      <c r="AG58" s="5">
        <v>3812850</v>
      </c>
      <c r="AH58" s="5">
        <v>3622177</v>
      </c>
      <c r="AI58" s="5">
        <v>2737807</v>
      </c>
      <c r="AJ58" s="5">
        <v>3454349.72</v>
      </c>
      <c r="AK58" s="5">
        <v>1139174</v>
      </c>
      <c r="AL58" s="5">
        <v>862275.48</v>
      </c>
      <c r="AM58" s="5">
        <v>1171186.694999869</v>
      </c>
      <c r="AN58" s="5">
        <v>952048</v>
      </c>
    </row>
    <row r="59" spans="2:40" ht="14.25" customHeight="1" x14ac:dyDescent="0.35">
      <c r="B59" s="19" t="s">
        <v>53</v>
      </c>
      <c r="C59" s="32">
        <f>C21</f>
        <v>0</v>
      </c>
      <c r="D59" s="3">
        <f t="shared" ref="D59:N59" si="105">D21</f>
        <v>0</v>
      </c>
      <c r="E59" s="3">
        <f t="shared" si="105"/>
        <v>0</v>
      </c>
      <c r="F59" s="29">
        <f t="shared" si="105"/>
        <v>0</v>
      </c>
      <c r="G59" s="26">
        <f t="shared" si="105"/>
        <v>0</v>
      </c>
      <c r="H59" s="3">
        <f t="shared" si="105"/>
        <v>0</v>
      </c>
      <c r="I59" s="3">
        <f t="shared" si="105"/>
        <v>0</v>
      </c>
      <c r="J59" s="29">
        <f t="shared" si="105"/>
        <v>0</v>
      </c>
      <c r="K59" s="26">
        <f t="shared" si="105"/>
        <v>2450760.4</v>
      </c>
      <c r="L59" s="3">
        <f t="shared" si="105"/>
        <v>2271593.7999999998</v>
      </c>
      <c r="M59" s="3">
        <f t="shared" si="105"/>
        <v>2590760</v>
      </c>
      <c r="N59" s="29">
        <f t="shared" si="105"/>
        <v>2150000</v>
      </c>
      <c r="O59" s="26">
        <v>3694000</v>
      </c>
      <c r="P59" s="3">
        <v>5007000</v>
      </c>
      <c r="Q59" s="3">
        <v>4863000</v>
      </c>
      <c r="R59" s="29">
        <v>4706430</v>
      </c>
      <c r="S59" s="26">
        <v>5421502.8699999992</v>
      </c>
      <c r="T59" s="3">
        <v>5252948.74</v>
      </c>
      <c r="U59" s="3">
        <v>5084395</v>
      </c>
      <c r="V59" s="29">
        <v>4915840</v>
      </c>
      <c r="W59" s="26">
        <v>5660833</v>
      </c>
      <c r="X59" s="3">
        <v>2750978</v>
      </c>
      <c r="Y59" s="3">
        <v>5272498</v>
      </c>
      <c r="AA59" s="19" t="s">
        <v>53</v>
      </c>
      <c r="AB59" s="32">
        <v>4915840</v>
      </c>
      <c r="AC59" s="3">
        <v>5078330</v>
      </c>
      <c r="AD59" s="3">
        <v>4884163</v>
      </c>
      <c r="AE59" s="3">
        <v>4689995</v>
      </c>
      <c r="AF59" s="3">
        <v>4495827</v>
      </c>
      <c r="AG59" s="3">
        <v>4301660</v>
      </c>
      <c r="AH59" s="3">
        <v>4301660</v>
      </c>
      <c r="AI59" s="3">
        <v>3913325</v>
      </c>
      <c r="AJ59" s="3">
        <v>3200330</v>
      </c>
      <c r="AK59" s="3">
        <v>3030482</v>
      </c>
      <c r="AL59" s="3">
        <v>2860635</v>
      </c>
      <c r="AM59" s="5">
        <v>2690787</v>
      </c>
      <c r="AN59" s="5">
        <v>3810031</v>
      </c>
    </row>
    <row r="60" spans="2:40" ht="14.25" customHeight="1" x14ac:dyDescent="0.35">
      <c r="B60" s="19" t="s">
        <v>54</v>
      </c>
      <c r="C60" s="32">
        <f>C22</f>
        <v>314078</v>
      </c>
      <c r="D60" s="3">
        <f t="shared" ref="D60:N60" si="106">D22</f>
        <v>314078</v>
      </c>
      <c r="E60" s="3">
        <f t="shared" si="106"/>
        <v>314078</v>
      </c>
      <c r="F60" s="29">
        <f t="shared" si="106"/>
        <v>411478.78</v>
      </c>
      <c r="G60" s="26">
        <f t="shared" si="106"/>
        <v>411478.78</v>
      </c>
      <c r="H60" s="3">
        <f t="shared" si="106"/>
        <v>411478.78</v>
      </c>
      <c r="I60" s="3">
        <f t="shared" si="106"/>
        <v>411478.78</v>
      </c>
      <c r="J60" s="29">
        <f t="shared" si="106"/>
        <v>527460</v>
      </c>
      <c r="K60" s="26">
        <f t="shared" si="106"/>
        <v>527460</v>
      </c>
      <c r="L60" s="3">
        <f t="shared" si="106"/>
        <v>527460</v>
      </c>
      <c r="M60" s="3">
        <f t="shared" si="106"/>
        <v>527460</v>
      </c>
      <c r="N60" s="29">
        <f t="shared" si="106"/>
        <v>619281</v>
      </c>
      <c r="O60" s="26">
        <v>619000</v>
      </c>
      <c r="P60" s="3">
        <v>619000</v>
      </c>
      <c r="Q60" s="3">
        <v>619000</v>
      </c>
      <c r="R60" s="29">
        <v>803329</v>
      </c>
      <c r="S60" s="26">
        <v>803329</v>
      </c>
      <c r="T60" s="3">
        <v>803329</v>
      </c>
      <c r="U60" s="3">
        <v>803329</v>
      </c>
      <c r="V60" s="29">
        <v>521199</v>
      </c>
      <c r="W60" s="26">
        <v>521199</v>
      </c>
      <c r="X60" s="3">
        <v>521199</v>
      </c>
      <c r="Y60" s="3">
        <v>521199</v>
      </c>
      <c r="AA60" s="19" t="s">
        <v>54</v>
      </c>
      <c r="AB60" s="32">
        <v>521199</v>
      </c>
      <c r="AC60" s="3">
        <v>425226</v>
      </c>
      <c r="AD60" s="3">
        <v>425226</v>
      </c>
      <c r="AE60" s="3">
        <v>425226</v>
      </c>
      <c r="AF60" s="3">
        <v>425226</v>
      </c>
      <c r="AG60" s="3">
        <v>443041</v>
      </c>
      <c r="AH60" s="3">
        <v>443041</v>
      </c>
      <c r="AI60" s="3">
        <v>443041</v>
      </c>
      <c r="AJ60" s="3">
        <v>443041</v>
      </c>
      <c r="AK60" s="3">
        <v>761853</v>
      </c>
      <c r="AL60" s="3">
        <v>761853</v>
      </c>
      <c r="AM60" s="5">
        <v>761853</v>
      </c>
      <c r="AN60" s="5">
        <v>761853</v>
      </c>
    </row>
    <row r="61" spans="2:40" s="39" customFormat="1" ht="14.25" customHeight="1" x14ac:dyDescent="0.35">
      <c r="B61" s="120" t="s">
        <v>56</v>
      </c>
      <c r="C61" s="112">
        <f>SUM(C65:C70)+C62</f>
        <v>57944481.66997245</v>
      </c>
      <c r="D61" s="110">
        <f t="shared" ref="D61:Y61" si="107">SUM(D65:D70)+D62</f>
        <v>52057138.969972759</v>
      </c>
      <c r="E61" s="110">
        <f t="shared" si="107"/>
        <v>54169850.119973212</v>
      </c>
      <c r="F61" s="113">
        <f t="shared" si="107"/>
        <v>61657598.780036196</v>
      </c>
      <c r="G61" s="112">
        <f t="shared" si="107"/>
        <v>56823896.159875616</v>
      </c>
      <c r="H61" s="110">
        <f t="shared" si="107"/>
        <v>57106484.069874436</v>
      </c>
      <c r="I61" s="110">
        <f t="shared" si="107"/>
        <v>50015223.166241735</v>
      </c>
      <c r="J61" s="113">
        <f t="shared" si="107"/>
        <v>63026160.259883165</v>
      </c>
      <c r="K61" s="112">
        <f t="shared" si="107"/>
        <v>63958051.129999645</v>
      </c>
      <c r="L61" s="110">
        <f t="shared" si="107"/>
        <v>68668073.159999996</v>
      </c>
      <c r="M61" s="110">
        <f t="shared" si="107"/>
        <v>70565495</v>
      </c>
      <c r="N61" s="113">
        <f t="shared" si="107"/>
        <v>86838966.030000001</v>
      </c>
      <c r="O61" s="112">
        <f t="shared" si="107"/>
        <v>84971000</v>
      </c>
      <c r="P61" s="110">
        <f t="shared" si="107"/>
        <v>83259000</v>
      </c>
      <c r="Q61" s="110">
        <f t="shared" si="107"/>
        <v>77773000</v>
      </c>
      <c r="R61" s="113">
        <f t="shared" si="107"/>
        <v>75365225</v>
      </c>
      <c r="S61" s="112">
        <f t="shared" si="107"/>
        <v>80352964.879999995</v>
      </c>
      <c r="T61" s="110">
        <f t="shared" si="107"/>
        <v>78687767</v>
      </c>
      <c r="U61" s="110">
        <f t="shared" si="107"/>
        <v>80439796</v>
      </c>
      <c r="V61" s="113">
        <f t="shared" si="107"/>
        <v>68144212</v>
      </c>
      <c r="W61" s="112">
        <f t="shared" si="107"/>
        <v>71953945</v>
      </c>
      <c r="X61" s="110">
        <f t="shared" si="107"/>
        <v>76986130</v>
      </c>
      <c r="Y61" s="110">
        <f t="shared" si="107"/>
        <v>79533655</v>
      </c>
      <c r="AA61" s="120" t="s">
        <v>56</v>
      </c>
      <c r="AB61" s="112">
        <f>SUM(AB65:AB70)+AB62</f>
        <v>68144212</v>
      </c>
      <c r="AC61" s="110">
        <f t="shared" ref="AC61:AF61" si="108">SUM(AC65:AC70)+AC62</f>
        <v>71473791</v>
      </c>
      <c r="AD61" s="110">
        <f t="shared" si="108"/>
        <v>73048702</v>
      </c>
      <c r="AE61" s="110">
        <f t="shared" si="108"/>
        <v>73407971</v>
      </c>
      <c r="AF61" s="110">
        <f t="shared" si="108"/>
        <v>73031282</v>
      </c>
      <c r="AG61" s="110">
        <f t="shared" ref="AG61:AH61" si="109">SUM(AG65:AG70)+AG62</f>
        <v>77493462</v>
      </c>
      <c r="AH61" s="110">
        <f t="shared" si="109"/>
        <v>88281657</v>
      </c>
      <c r="AI61" s="110">
        <f t="shared" ref="AI61:AJ61" si="110">SUM(AI65:AI70)+AI62</f>
        <v>99080727</v>
      </c>
      <c r="AJ61" s="110">
        <f t="shared" si="110"/>
        <v>88701666</v>
      </c>
      <c r="AK61" s="110">
        <f t="shared" ref="AK61:AL61" si="111">SUM(AK65:AK70)+AK62</f>
        <v>114764934.14998999</v>
      </c>
      <c r="AL61" s="110">
        <f t="shared" si="111"/>
        <v>120443287.59</v>
      </c>
      <c r="AM61" s="110">
        <f t="shared" ref="AM61:AN61" si="112">SUM(AM65:AM70)+AM62</f>
        <v>113868796.34994546</v>
      </c>
      <c r="AN61" s="110">
        <f t="shared" si="112"/>
        <v>77680991</v>
      </c>
    </row>
    <row r="62" spans="2:40" ht="14.25" customHeight="1" x14ac:dyDescent="0.35">
      <c r="B62" s="19" t="s">
        <v>48</v>
      </c>
      <c r="C62" s="32">
        <f>C25</f>
        <v>22740711.769975901</v>
      </c>
      <c r="D62" s="5">
        <f t="shared" ref="D62:N62" si="113">D25</f>
        <v>21636810.929976031</v>
      </c>
      <c r="E62" s="5">
        <f t="shared" si="113"/>
        <v>22786734.739975892</v>
      </c>
      <c r="F62" s="33">
        <f t="shared" si="113"/>
        <v>24064121.4499841</v>
      </c>
      <c r="G62" s="32">
        <f t="shared" si="113"/>
        <v>27404582.309887774</v>
      </c>
      <c r="H62" s="5">
        <f t="shared" si="113"/>
        <v>28245580.469886445</v>
      </c>
      <c r="I62" s="5">
        <f t="shared" si="113"/>
        <v>19127908.349890828</v>
      </c>
      <c r="J62" s="33">
        <f t="shared" si="113"/>
        <v>24939026.249894775</v>
      </c>
      <c r="K62" s="32">
        <f t="shared" si="113"/>
        <v>27685452.740000002</v>
      </c>
      <c r="L62" s="5">
        <f t="shared" si="113"/>
        <v>31794468.559999999</v>
      </c>
      <c r="M62" s="5">
        <f t="shared" si="113"/>
        <v>33632839</v>
      </c>
      <c r="N62" s="33">
        <f t="shared" si="113"/>
        <v>38220283.030000001</v>
      </c>
      <c r="O62" s="32">
        <v>39446000</v>
      </c>
      <c r="P62" s="5">
        <v>40737000</v>
      </c>
      <c r="Q62" s="5">
        <v>36646000</v>
      </c>
      <c r="R62" s="33">
        <v>35699871</v>
      </c>
      <c r="S62" s="32">
        <v>38725066</v>
      </c>
      <c r="T62" s="5">
        <v>27800253</v>
      </c>
      <c r="U62" s="5">
        <v>30341098</v>
      </c>
      <c r="V62" s="33">
        <v>27230285</v>
      </c>
      <c r="W62" s="32">
        <v>29535303</v>
      </c>
      <c r="X62" s="5">
        <v>28004262</v>
      </c>
      <c r="Y62" s="5">
        <v>32699443</v>
      </c>
      <c r="AA62" s="19" t="s">
        <v>48</v>
      </c>
      <c r="AB62" s="32">
        <v>27230285</v>
      </c>
      <c r="AC62" s="5">
        <v>22082330</v>
      </c>
      <c r="AD62" s="5">
        <v>20844063</v>
      </c>
      <c r="AE62" s="5">
        <v>19708455</v>
      </c>
      <c r="AF62" s="5">
        <v>19020403</v>
      </c>
      <c r="AG62" s="5">
        <v>22219658</v>
      </c>
      <c r="AH62" s="5">
        <v>27236410</v>
      </c>
      <c r="AI62" s="5">
        <v>31236449</v>
      </c>
      <c r="AJ62" s="5">
        <v>28702517</v>
      </c>
      <c r="AK62" s="5">
        <v>38072509.469999999</v>
      </c>
      <c r="AL62" s="5">
        <v>38924598.920000002</v>
      </c>
      <c r="AM62" s="5">
        <v>40011879.760000005</v>
      </c>
      <c r="AN62" s="5">
        <v>2022099</v>
      </c>
    </row>
    <row r="63" spans="2:40" s="105" customFormat="1" ht="14.25" customHeight="1" x14ac:dyDescent="0.35">
      <c r="B63" s="128" t="s">
        <v>173</v>
      </c>
      <c r="C63" s="99" t="str">
        <f t="shared" ref="C63:J63" si="114">C26</f>
        <v>-</v>
      </c>
      <c r="D63" s="100" t="str">
        <f t="shared" si="114"/>
        <v>-</v>
      </c>
      <c r="E63" s="100" t="str">
        <f t="shared" si="114"/>
        <v>-</v>
      </c>
      <c r="F63" s="101" t="str">
        <f t="shared" si="114"/>
        <v>-</v>
      </c>
      <c r="G63" s="99" t="str">
        <f t="shared" si="114"/>
        <v>-</v>
      </c>
      <c r="H63" s="100" t="str">
        <f t="shared" si="114"/>
        <v>-</v>
      </c>
      <c r="I63" s="100" t="str">
        <f t="shared" si="114"/>
        <v>-</v>
      </c>
      <c r="J63" s="101" t="str">
        <f t="shared" si="114"/>
        <v>-</v>
      </c>
      <c r="K63" s="99">
        <f t="shared" ref="K63:N63" si="115">K26</f>
        <v>2712602.74</v>
      </c>
      <c r="L63" s="100" t="str">
        <f t="shared" ref="L63:M63" si="116">L26</f>
        <v>-</v>
      </c>
      <c r="M63" s="100" t="str">
        <f t="shared" si="116"/>
        <v>-</v>
      </c>
      <c r="N63" s="101">
        <f t="shared" si="115"/>
        <v>13340686.029999999</v>
      </c>
      <c r="O63" s="99">
        <v>13467000</v>
      </c>
      <c r="P63" s="100">
        <v>13595000</v>
      </c>
      <c r="Q63" s="100">
        <v>13725000</v>
      </c>
      <c r="R63" s="101">
        <v>13853886</v>
      </c>
      <c r="S63" s="99">
        <v>13981835</v>
      </c>
      <c r="T63" s="100">
        <v>14109783</v>
      </c>
      <c r="U63" s="100">
        <v>14239138</v>
      </c>
      <c r="V63" s="101">
        <v>14368492</v>
      </c>
      <c r="W63" s="99">
        <v>14495035</v>
      </c>
      <c r="X63" s="100">
        <v>14622983</v>
      </c>
      <c r="Y63" s="100">
        <v>14752338</v>
      </c>
      <c r="AA63" s="128" t="s">
        <v>173</v>
      </c>
      <c r="AB63" s="99">
        <v>14368492</v>
      </c>
      <c r="AC63" s="100">
        <v>14881692</v>
      </c>
      <c r="AD63" s="100">
        <v>15008235</v>
      </c>
      <c r="AE63" s="100">
        <v>15136183</v>
      </c>
      <c r="AF63" s="100">
        <v>15265538</v>
      </c>
      <c r="AG63" s="100">
        <v>15394892</v>
      </c>
      <c r="AH63" s="100">
        <v>15695430</v>
      </c>
      <c r="AI63" s="100">
        <v>15136183</v>
      </c>
      <c r="AJ63" s="100">
        <v>21522552.460000001</v>
      </c>
      <c r="AK63" s="100">
        <v>21949495.469999999</v>
      </c>
      <c r="AL63" s="100">
        <v>22327344.920000002</v>
      </c>
      <c r="AM63" s="5">
        <v>22705194.350000001</v>
      </c>
      <c r="AN63" s="5"/>
    </row>
    <row r="64" spans="2:40" s="105" customFormat="1" ht="14.25" customHeight="1" x14ac:dyDescent="0.35">
      <c r="B64" s="154" t="s">
        <v>174</v>
      </c>
      <c r="C64" s="99" t="str">
        <f t="shared" ref="C64:J64" si="117">C27</f>
        <v>-</v>
      </c>
      <c r="D64" s="100" t="str">
        <f t="shared" si="117"/>
        <v>-</v>
      </c>
      <c r="E64" s="100" t="str">
        <f t="shared" si="117"/>
        <v>-</v>
      </c>
      <c r="F64" s="101" t="str">
        <f t="shared" si="117"/>
        <v>-</v>
      </c>
      <c r="G64" s="99" t="str">
        <f t="shared" si="117"/>
        <v>-</v>
      </c>
      <c r="H64" s="100" t="str">
        <f t="shared" si="117"/>
        <v>-</v>
      </c>
      <c r="I64" s="100" t="str">
        <f t="shared" si="117"/>
        <v>-</v>
      </c>
      <c r="J64" s="101" t="str">
        <f t="shared" si="117"/>
        <v>-</v>
      </c>
      <c r="K64" s="99">
        <f t="shared" ref="K64:N64" si="118">K27</f>
        <v>24972850</v>
      </c>
      <c r="L64" s="100" t="str">
        <f t="shared" ref="L64:M64" si="119">L27</f>
        <v>-</v>
      </c>
      <c r="M64" s="100" t="str">
        <f t="shared" si="119"/>
        <v>-</v>
      </c>
      <c r="N64" s="101">
        <f t="shared" si="118"/>
        <v>24879597</v>
      </c>
      <c r="O64" s="99">
        <v>25979000</v>
      </c>
      <c r="P64" s="100">
        <v>27141000</v>
      </c>
      <c r="Q64" s="100">
        <v>22921000</v>
      </c>
      <c r="R64" s="101">
        <v>21845985</v>
      </c>
      <c r="S64" s="99">
        <v>24743231</v>
      </c>
      <c r="T64" s="100">
        <v>13690470</v>
      </c>
      <c r="U64" s="100">
        <v>16101960</v>
      </c>
      <c r="V64" s="101">
        <v>12861793</v>
      </c>
      <c r="W64" s="99">
        <v>15040268</v>
      </c>
      <c r="X64" s="100">
        <v>13381279</v>
      </c>
      <c r="Y64" s="100">
        <v>17947105</v>
      </c>
      <c r="AA64" s="154" t="s">
        <v>174</v>
      </c>
      <c r="AB64" s="99">
        <v>12861793</v>
      </c>
      <c r="AC64" s="100">
        <v>7200638</v>
      </c>
      <c r="AD64" s="100">
        <v>5835828</v>
      </c>
      <c r="AE64" s="100">
        <v>4572272</v>
      </c>
      <c r="AF64" s="100">
        <v>3754866</v>
      </c>
      <c r="AG64" s="100">
        <v>6824766</v>
      </c>
      <c r="AH64" s="100">
        <v>11540980</v>
      </c>
      <c r="AI64" s="100">
        <v>4572272</v>
      </c>
      <c r="AJ64" s="100">
        <v>7179965</v>
      </c>
      <c r="AK64" s="100">
        <v>16123014</v>
      </c>
      <c r="AL64" s="100">
        <v>16597254</v>
      </c>
      <c r="AM64" s="5">
        <v>17306685</v>
      </c>
      <c r="AN64" s="5">
        <v>2022099</v>
      </c>
    </row>
    <row r="65" spans="2:40" ht="14.25" customHeight="1" x14ac:dyDescent="0.35">
      <c r="B65" s="19" t="s">
        <v>175</v>
      </c>
      <c r="C65" s="32">
        <f t="shared" ref="C65:H65" si="120">C28+C29</f>
        <v>1105711.2099999981</v>
      </c>
      <c r="D65" s="5">
        <f t="shared" si="120"/>
        <v>1011167.9499999981</v>
      </c>
      <c r="E65" s="5">
        <f t="shared" si="120"/>
        <v>944096.71999999881</v>
      </c>
      <c r="F65" s="33">
        <f t="shared" si="120"/>
        <v>837585.90999999968</v>
      </c>
      <c r="G65" s="32">
        <f t="shared" si="120"/>
        <v>701573.33999999892</v>
      </c>
      <c r="H65" s="5">
        <f t="shared" si="120"/>
        <v>563621.56999999878</v>
      </c>
      <c r="I65" s="5">
        <f>I28+I29</f>
        <v>431540.96999999892</v>
      </c>
      <c r="J65" s="33">
        <f t="shared" ref="J65:N65" si="121">J28+J29</f>
        <v>470667.08999999921</v>
      </c>
      <c r="K65" s="32">
        <f t="shared" si="121"/>
        <v>337510</v>
      </c>
      <c r="L65" s="5">
        <f t="shared" si="121"/>
        <v>327018</v>
      </c>
      <c r="M65" s="5">
        <f t="shared" si="121"/>
        <v>391138</v>
      </c>
      <c r="N65" s="33">
        <f t="shared" si="121"/>
        <v>428317</v>
      </c>
      <c r="O65" s="32">
        <v>474000</v>
      </c>
      <c r="P65" s="5">
        <v>425000</v>
      </c>
      <c r="Q65" s="5">
        <f>309000</f>
        <v>309000</v>
      </c>
      <c r="R65" s="33"/>
      <c r="S65" s="32">
        <v>240715.75000000052</v>
      </c>
      <c r="T65" s="5">
        <v>236092</v>
      </c>
      <c r="U65" s="5">
        <v>188575</v>
      </c>
      <c r="V65" s="33">
        <v>95531</v>
      </c>
      <c r="W65" s="32">
        <v>95531</v>
      </c>
      <c r="X65" s="5">
        <v>482179</v>
      </c>
      <c r="Y65" s="5">
        <v>482730</v>
      </c>
      <c r="AA65" s="19" t="s">
        <v>175</v>
      </c>
      <c r="AB65" s="32">
        <v>95531</v>
      </c>
      <c r="AC65" s="5">
        <v>483287</v>
      </c>
      <c r="AD65" s="5">
        <v>501484</v>
      </c>
      <c r="AE65" s="5">
        <v>406405</v>
      </c>
      <c r="AF65" s="5">
        <v>482730</v>
      </c>
      <c r="AG65" s="5">
        <v>173312</v>
      </c>
      <c r="AH65" s="5">
        <v>85968</v>
      </c>
      <c r="AI65" s="5">
        <v>88274</v>
      </c>
      <c r="AJ65" s="5">
        <v>90647</v>
      </c>
      <c r="AK65" s="5">
        <v>93565</v>
      </c>
      <c r="AL65" s="5">
        <v>95824.67</v>
      </c>
      <c r="AM65" s="5">
        <v>142937.25</v>
      </c>
      <c r="AN65" s="5">
        <v>643483</v>
      </c>
    </row>
    <row r="66" spans="2:40" ht="14.25" customHeight="1" x14ac:dyDescent="0.35">
      <c r="B66" s="46" t="s">
        <v>58</v>
      </c>
      <c r="C66" s="32">
        <f>C30</f>
        <v>26853004.499996461</v>
      </c>
      <c r="D66" s="5">
        <f t="shared" ref="D66:N66" si="122">D30</f>
        <v>22239116.329996653</v>
      </c>
      <c r="E66" s="5">
        <f t="shared" si="122"/>
        <v>22561202.839997239</v>
      </c>
      <c r="F66" s="33">
        <f t="shared" si="122"/>
        <v>28914557.539997201</v>
      </c>
      <c r="G66" s="32">
        <f t="shared" si="122"/>
        <v>19843435.089988176</v>
      </c>
      <c r="H66" s="5">
        <f t="shared" si="122"/>
        <v>19127766.3699883</v>
      </c>
      <c r="I66" s="5">
        <f t="shared" si="122"/>
        <v>19478096.949989274</v>
      </c>
      <c r="J66" s="33">
        <f t="shared" si="122"/>
        <v>26430631.8099887</v>
      </c>
      <c r="K66" s="32">
        <f t="shared" si="122"/>
        <v>24256831</v>
      </c>
      <c r="L66" s="5">
        <f t="shared" si="122"/>
        <v>24861368</v>
      </c>
      <c r="M66" s="5">
        <f t="shared" si="122"/>
        <v>25919431</v>
      </c>
      <c r="N66" s="33">
        <f t="shared" si="122"/>
        <v>37942468</v>
      </c>
      <c r="O66" s="32">
        <v>33903000</v>
      </c>
      <c r="P66" s="5">
        <v>29681000</v>
      </c>
      <c r="Q66" s="5">
        <v>28881000</v>
      </c>
      <c r="R66" s="33">
        <v>28056963</v>
      </c>
      <c r="S66" s="32">
        <v>29081655</v>
      </c>
      <c r="T66" s="5">
        <v>32205831</v>
      </c>
      <c r="U66" s="5">
        <v>30714901</v>
      </c>
      <c r="V66" s="33">
        <v>28245133</v>
      </c>
      <c r="W66" s="32">
        <v>27699095</v>
      </c>
      <c r="X66" s="5">
        <v>29892723</v>
      </c>
      <c r="Y66" s="5">
        <v>30875493</v>
      </c>
      <c r="AA66" s="46" t="s">
        <v>58</v>
      </c>
      <c r="AB66" s="32">
        <v>28245133</v>
      </c>
      <c r="AC66" s="5">
        <v>32754838</v>
      </c>
      <c r="AD66" s="5">
        <v>50598952</v>
      </c>
      <c r="AE66" s="5">
        <v>50851195</v>
      </c>
      <c r="AF66" s="5">
        <v>52071434</v>
      </c>
      <c r="AG66" s="5">
        <v>54032649</v>
      </c>
      <c r="AH66" s="5">
        <v>58698742</v>
      </c>
      <c r="AI66" s="5">
        <v>65188202</v>
      </c>
      <c r="AJ66" s="5">
        <v>58350558</v>
      </c>
      <c r="AK66" s="5">
        <v>75342799.679989994</v>
      </c>
      <c r="AL66" s="5">
        <v>78777987</v>
      </c>
      <c r="AM66" s="5">
        <v>70640296.979945451</v>
      </c>
      <c r="AN66" s="5">
        <v>71611124</v>
      </c>
    </row>
    <row r="67" spans="2:40" ht="14.25" hidden="1" customHeight="1" x14ac:dyDescent="0.35">
      <c r="B67" s="46" t="s">
        <v>59</v>
      </c>
      <c r="C67" s="32">
        <f>C31</f>
        <v>0</v>
      </c>
      <c r="D67" s="5">
        <f t="shared" ref="D67:N67" si="123">D31</f>
        <v>0</v>
      </c>
      <c r="E67" s="5">
        <f t="shared" si="123"/>
        <v>0</v>
      </c>
      <c r="F67" s="33">
        <f t="shared" si="123"/>
        <v>0</v>
      </c>
      <c r="G67" s="32">
        <f t="shared" si="123"/>
        <v>0</v>
      </c>
      <c r="H67" s="5">
        <f t="shared" si="123"/>
        <v>0</v>
      </c>
      <c r="I67" s="5">
        <f t="shared" si="123"/>
        <v>0</v>
      </c>
      <c r="J67" s="33">
        <f t="shared" si="123"/>
        <v>0</v>
      </c>
      <c r="K67" s="32">
        <f t="shared" si="123"/>
        <v>0</v>
      </c>
      <c r="L67" s="5">
        <f t="shared" si="123"/>
        <v>0</v>
      </c>
      <c r="M67" s="5">
        <f t="shared" si="123"/>
        <v>282345</v>
      </c>
      <c r="N67" s="33">
        <f t="shared" si="123"/>
        <v>0</v>
      </c>
      <c r="O67" s="32"/>
      <c r="P67" s="5"/>
      <c r="Q67" s="5"/>
      <c r="R67" s="33">
        <v>38269</v>
      </c>
      <c r="S67" s="32">
        <v>0</v>
      </c>
      <c r="T67" s="5">
        <v>525497</v>
      </c>
      <c r="U67" s="5">
        <v>525497</v>
      </c>
      <c r="V67" s="33">
        <v>0</v>
      </c>
      <c r="W67" s="32">
        <v>0</v>
      </c>
      <c r="X67" s="5">
        <v>13080</v>
      </c>
      <c r="Y67" s="5">
        <v>152276</v>
      </c>
      <c r="AA67" s="46"/>
      <c r="AB67" s="32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1</v>
      </c>
    </row>
    <row r="68" spans="2:40" ht="14.25" customHeight="1" x14ac:dyDescent="0.35">
      <c r="B68" s="19" t="s">
        <v>60</v>
      </c>
      <c r="C68" s="32">
        <f t="shared" ref="C68:H68" si="124">C32+C35</f>
        <v>5756152.0400000941</v>
      </c>
      <c r="D68" s="5">
        <f t="shared" si="124"/>
        <v>5683914.040000082</v>
      </c>
      <c r="E68" s="5">
        <f t="shared" si="124"/>
        <v>6458303.8200000841</v>
      </c>
      <c r="F68" s="33">
        <f t="shared" si="124"/>
        <v>6268010.2900000121</v>
      </c>
      <c r="G68" s="32">
        <f t="shared" si="124"/>
        <v>6842116.8499996755</v>
      </c>
      <c r="H68" s="5">
        <f t="shared" si="124"/>
        <v>7326526.7599997027</v>
      </c>
      <c r="I68" s="5">
        <f>I32+I35</f>
        <v>9608297.1099996436</v>
      </c>
      <c r="J68" s="33">
        <f t="shared" ref="J68:N68" si="125">J32+J35</f>
        <v>9611807.6699997</v>
      </c>
      <c r="K68" s="32">
        <f t="shared" si="125"/>
        <v>9833208.7899996396</v>
      </c>
      <c r="L68" s="5">
        <f t="shared" si="125"/>
        <v>9179522</v>
      </c>
      <c r="M68" s="5">
        <f t="shared" si="125"/>
        <v>9169076</v>
      </c>
      <c r="N68" s="33">
        <f t="shared" si="125"/>
        <v>9074464</v>
      </c>
      <c r="O68" s="32">
        <v>9429000</v>
      </c>
      <c r="P68" s="5">
        <v>10031000</v>
      </c>
      <c r="Q68" s="5">
        <v>10305000</v>
      </c>
      <c r="R68" s="33">
        <v>9899236</v>
      </c>
      <c r="S68" s="32">
        <v>9917621</v>
      </c>
      <c r="T68" s="5">
        <v>13319762</v>
      </c>
      <c r="U68" s="5">
        <v>14829168</v>
      </c>
      <c r="V68" s="33">
        <v>10147542</v>
      </c>
      <c r="W68" s="32">
        <v>10055094</v>
      </c>
      <c r="X68" s="5">
        <v>10775576</v>
      </c>
      <c r="Y68" s="5">
        <v>11039982</v>
      </c>
      <c r="AA68" s="19" t="s">
        <v>60</v>
      </c>
      <c r="AB68" s="32">
        <v>10147542</v>
      </c>
      <c r="AC68" s="5">
        <v>11391828</v>
      </c>
      <c r="AD68" s="5"/>
      <c r="AE68" s="5"/>
      <c r="AF68" s="5"/>
      <c r="AG68" s="5"/>
      <c r="AH68" s="5"/>
      <c r="AI68" s="5"/>
      <c r="AJ68" s="5"/>
      <c r="AK68" s="5"/>
      <c r="AL68" s="5"/>
      <c r="AM68" s="5">
        <v>189200</v>
      </c>
      <c r="AN68" s="5">
        <v>853961</v>
      </c>
    </row>
    <row r="69" spans="2:40" ht="14.25" customHeight="1" x14ac:dyDescent="0.35">
      <c r="B69" s="19" t="s">
        <v>53</v>
      </c>
      <c r="C69" s="32">
        <f>C33</f>
        <v>11928.149999996182</v>
      </c>
      <c r="D69" s="5">
        <f t="shared" ref="D69:N69" si="126">D33</f>
        <v>62833.71999999648</v>
      </c>
      <c r="E69" s="5">
        <f t="shared" si="126"/>
        <v>40556</v>
      </c>
      <c r="F69" s="33">
        <f t="shared" si="126"/>
        <v>46028.189999996219</v>
      </c>
      <c r="G69" s="32">
        <f t="shared" si="126"/>
        <v>19331.569999992382</v>
      </c>
      <c r="H69" s="5">
        <f t="shared" si="126"/>
        <v>39316.899999992456</v>
      </c>
      <c r="I69" s="5">
        <f t="shared" si="126"/>
        <v>22959.6599999926</v>
      </c>
      <c r="J69" s="33">
        <f t="shared" si="126"/>
        <v>33979.439999992494</v>
      </c>
      <c r="K69" s="32">
        <f t="shared" si="126"/>
        <v>5355.6000000000931</v>
      </c>
      <c r="L69" s="5">
        <f t="shared" si="126"/>
        <v>212984.6</v>
      </c>
      <c r="M69" s="5">
        <f t="shared" si="126"/>
        <v>53600</v>
      </c>
      <c r="N69" s="33">
        <f t="shared" si="126"/>
        <v>436683</v>
      </c>
      <c r="O69" s="32">
        <v>227000</v>
      </c>
      <c r="P69" s="5">
        <v>641000</v>
      </c>
      <c r="Q69" s="5">
        <v>593000</v>
      </c>
      <c r="R69" s="33">
        <v>1036963</v>
      </c>
      <c r="S69" s="32">
        <v>874635.13000000082</v>
      </c>
      <c r="T69" s="5">
        <v>1845766</v>
      </c>
      <c r="U69" s="5">
        <v>1695193</v>
      </c>
      <c r="V69" s="33">
        <v>1520681</v>
      </c>
      <c r="W69" s="32">
        <v>3035729</v>
      </c>
      <c r="X69" s="5">
        <v>5466665</v>
      </c>
      <c r="Y69" s="5">
        <v>3163717</v>
      </c>
      <c r="AA69" s="19" t="s">
        <v>53</v>
      </c>
      <c r="AB69" s="32">
        <v>1520681</v>
      </c>
      <c r="AC69" s="5">
        <v>3936061</v>
      </c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</row>
    <row r="70" spans="2:40" ht="14.25" customHeight="1" thickBot="1" x14ac:dyDescent="0.4">
      <c r="B70" s="135" t="s">
        <v>54</v>
      </c>
      <c r="C70" s="131">
        <f>C34</f>
        <v>1476973.9999999993</v>
      </c>
      <c r="D70" s="129">
        <f t="shared" ref="D70:N70" si="127">D34</f>
        <v>1423296</v>
      </c>
      <c r="E70" s="129">
        <f t="shared" si="127"/>
        <v>1378956</v>
      </c>
      <c r="F70" s="130">
        <f t="shared" si="127"/>
        <v>1527295.40005489</v>
      </c>
      <c r="G70" s="131">
        <f t="shared" si="127"/>
        <v>2012856.9999999998</v>
      </c>
      <c r="H70" s="129">
        <f t="shared" si="127"/>
        <v>1803672</v>
      </c>
      <c r="I70" s="129">
        <f t="shared" si="127"/>
        <v>1346420.1263620004</v>
      </c>
      <c r="J70" s="130">
        <f t="shared" si="127"/>
        <v>1540048</v>
      </c>
      <c r="K70" s="131">
        <f t="shared" si="127"/>
        <v>1839693</v>
      </c>
      <c r="L70" s="129">
        <f t="shared" si="127"/>
        <v>2292712</v>
      </c>
      <c r="M70" s="129">
        <f t="shared" si="127"/>
        <v>1117066</v>
      </c>
      <c r="N70" s="130">
        <f t="shared" si="127"/>
        <v>736751</v>
      </c>
      <c r="O70" s="131">
        <v>1492000</v>
      </c>
      <c r="P70" s="129">
        <v>1744000</v>
      </c>
      <c r="Q70" s="129">
        <v>1039000</v>
      </c>
      <c r="R70" s="130">
        <v>633923</v>
      </c>
      <c r="S70" s="131">
        <v>1513272</v>
      </c>
      <c r="T70" s="129">
        <v>2754566</v>
      </c>
      <c r="U70" s="129">
        <v>2145364</v>
      </c>
      <c r="V70" s="130">
        <v>905040</v>
      </c>
      <c r="W70" s="131">
        <v>1533193</v>
      </c>
      <c r="X70" s="129">
        <v>2351645</v>
      </c>
      <c r="Y70" s="129">
        <v>1120014</v>
      </c>
      <c r="AA70" s="135" t="s">
        <v>54</v>
      </c>
      <c r="AB70" s="131">
        <v>905040</v>
      </c>
      <c r="AC70" s="129">
        <v>825447</v>
      </c>
      <c r="AD70" s="129">
        <v>1104203</v>
      </c>
      <c r="AE70" s="129">
        <v>2441916</v>
      </c>
      <c r="AF70" s="129">
        <v>1456715</v>
      </c>
      <c r="AG70" s="129">
        <v>1067843</v>
      </c>
      <c r="AH70" s="129">
        <v>2260537</v>
      </c>
      <c r="AI70" s="129">
        <v>2567802</v>
      </c>
      <c r="AJ70" s="129">
        <v>1557944</v>
      </c>
      <c r="AK70" s="129">
        <v>1256060</v>
      </c>
      <c r="AL70" s="129">
        <v>2644877</v>
      </c>
      <c r="AM70" s="129">
        <v>2884482.36</v>
      </c>
      <c r="AN70" s="129">
        <v>2550323</v>
      </c>
    </row>
    <row r="71" spans="2:40" s="39" customFormat="1" ht="14.25" customHeight="1" thickBot="1" x14ac:dyDescent="0.4">
      <c r="B71" s="155" t="s">
        <v>61</v>
      </c>
      <c r="C71" s="134">
        <f>C61+C52+C46</f>
        <v>180707340.30997229</v>
      </c>
      <c r="D71" s="132">
        <f t="shared" ref="D71:Y71" si="128">D61+D52+D46</f>
        <v>180566498.66997275</v>
      </c>
      <c r="E71" s="132">
        <f t="shared" si="128"/>
        <v>187564698.01997495</v>
      </c>
      <c r="F71" s="133">
        <f t="shared" si="128"/>
        <v>193278439.74003825</v>
      </c>
      <c r="G71" s="134">
        <f t="shared" si="128"/>
        <v>193485288.94987762</v>
      </c>
      <c r="H71" s="132">
        <f t="shared" si="128"/>
        <v>193594059.73987648</v>
      </c>
      <c r="I71" s="132">
        <f t="shared" si="128"/>
        <v>195437296.66624177</v>
      </c>
      <c r="J71" s="133">
        <f t="shared" si="128"/>
        <v>201536037.03988305</v>
      </c>
      <c r="K71" s="134">
        <f t="shared" si="128"/>
        <v>201529758.79000166</v>
      </c>
      <c r="L71" s="132">
        <f t="shared" si="128"/>
        <v>201072060.79999787</v>
      </c>
      <c r="M71" s="132">
        <f t="shared" si="128"/>
        <v>207521058</v>
      </c>
      <c r="N71" s="133">
        <f t="shared" si="128"/>
        <v>223327159.17000002</v>
      </c>
      <c r="O71" s="134">
        <f t="shared" si="128"/>
        <v>218080000</v>
      </c>
      <c r="P71" s="132">
        <f t="shared" si="128"/>
        <v>220179000</v>
      </c>
      <c r="Q71" s="132">
        <f t="shared" si="128"/>
        <v>212336143.36000001</v>
      </c>
      <c r="R71" s="133">
        <f t="shared" si="128"/>
        <v>211123165.26000035</v>
      </c>
      <c r="S71" s="134">
        <f t="shared" si="128"/>
        <v>212612573.51000041</v>
      </c>
      <c r="T71" s="132">
        <f t="shared" si="128"/>
        <v>215634008.27000043</v>
      </c>
      <c r="U71" s="132">
        <f t="shared" si="128"/>
        <v>221569551.91000038</v>
      </c>
      <c r="V71" s="133">
        <f t="shared" si="128"/>
        <v>203557119.37000045</v>
      </c>
      <c r="W71" s="134">
        <f t="shared" si="128"/>
        <v>202244312.41000041</v>
      </c>
      <c r="X71" s="132">
        <f t="shared" si="128"/>
        <v>199934617.21000043</v>
      </c>
      <c r="Y71" s="132">
        <f t="shared" si="128"/>
        <v>204448996.67999998</v>
      </c>
      <c r="AA71" s="155" t="s">
        <v>61</v>
      </c>
      <c r="AB71" s="134">
        <f>AB61+AB52+AB46</f>
        <v>203557119.37000045</v>
      </c>
      <c r="AC71" s="132">
        <f t="shared" ref="AC71:AF71" si="129">AC61+AC52+AC46</f>
        <v>274501064.84000039</v>
      </c>
      <c r="AD71" s="132">
        <f t="shared" si="129"/>
        <v>268877577.83000004</v>
      </c>
      <c r="AE71" s="132">
        <f t="shared" si="129"/>
        <v>254459316.14000002</v>
      </c>
      <c r="AF71" s="132">
        <f t="shared" si="129"/>
        <v>250477954.82000005</v>
      </c>
      <c r="AG71" s="132">
        <f t="shared" ref="AG71:AH71" si="130">AG61+AG52+AG46</f>
        <v>251572981.44</v>
      </c>
      <c r="AH71" s="132">
        <f t="shared" si="130"/>
        <v>252783218.44</v>
      </c>
      <c r="AI71" s="132">
        <f t="shared" ref="AI71:AJ71" si="131">AI61+AI52+AI46</f>
        <v>263490477.44000003</v>
      </c>
      <c r="AJ71" s="132">
        <f t="shared" si="131"/>
        <v>255862658.81000003</v>
      </c>
      <c r="AK71" s="132">
        <f t="shared" ref="AK71:AL71" si="132">AK61+AK52+AK46</f>
        <v>277394618.089984</v>
      </c>
      <c r="AL71" s="132">
        <f t="shared" si="132"/>
        <v>285440540.59000039</v>
      </c>
      <c r="AM71" s="132">
        <f t="shared" ref="AM71:AN71" si="133">AM61+AM52+AM46</f>
        <v>286087757.4299444</v>
      </c>
      <c r="AN71" s="132">
        <f t="shared" si="133"/>
        <v>264242607.67000005</v>
      </c>
    </row>
  </sheetData>
  <mergeCells count="12">
    <mergeCell ref="W3:Y3"/>
    <mergeCell ref="C43:F43"/>
    <mergeCell ref="G43:J43"/>
    <mergeCell ref="K43:N43"/>
    <mergeCell ref="O43:R43"/>
    <mergeCell ref="S43:V43"/>
    <mergeCell ref="W43:Y43"/>
    <mergeCell ref="C3:F3"/>
    <mergeCell ref="G3:J3"/>
    <mergeCell ref="K3:N3"/>
    <mergeCell ref="O3:R3"/>
    <mergeCell ref="S3:V3"/>
  </mergeCells>
  <pageMargins left="0.19685039370078741" right="0.19685039370078741" top="0.59055118110236227" bottom="0.59055118110236227" header="0" footer="0"/>
  <pageSetup paperSize="9"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N59"/>
  <sheetViews>
    <sheetView topLeftCell="AA27" zoomScale="80" zoomScaleNormal="80" workbookViewId="0">
      <selection activeCell="AP12" sqref="AP12"/>
    </sheetView>
  </sheetViews>
  <sheetFormatPr defaultRowHeight="14.5" x14ac:dyDescent="0.35"/>
  <cols>
    <col min="1" max="1" width="1.81640625" customWidth="1"/>
    <col min="2" max="2" width="52.1796875" customWidth="1"/>
    <col min="27" max="27" width="78.54296875" customWidth="1"/>
    <col min="31" max="32" width="8.81640625" style="272"/>
    <col min="34" max="35" width="8.81640625" style="272"/>
  </cols>
  <sheetData>
    <row r="1" spans="2:40" ht="21" x14ac:dyDescent="0.5">
      <c r="B1" s="97" t="s">
        <v>161</v>
      </c>
    </row>
    <row r="2" spans="2:40" ht="15" thickBot="1" x14ac:dyDescent="0.4">
      <c r="B2" s="39" t="s">
        <v>160</v>
      </c>
    </row>
    <row r="3" spans="2:40" x14ac:dyDescent="0.35">
      <c r="C3" s="288">
        <v>2016</v>
      </c>
      <c r="D3" s="289"/>
      <c r="E3" s="289"/>
      <c r="F3" s="290"/>
      <c r="G3" s="288">
        <v>2017</v>
      </c>
      <c r="H3" s="289"/>
      <c r="I3" s="289"/>
      <c r="J3" s="290"/>
      <c r="K3" s="288">
        <v>2018</v>
      </c>
      <c r="L3" s="289"/>
      <c r="M3" s="289"/>
      <c r="N3" s="290"/>
      <c r="O3" s="288">
        <v>2019</v>
      </c>
      <c r="P3" s="289"/>
      <c r="Q3" s="289"/>
      <c r="R3" s="290"/>
      <c r="S3" s="288">
        <v>2020</v>
      </c>
      <c r="T3" s="289"/>
      <c r="U3" s="289"/>
      <c r="V3" s="290"/>
      <c r="W3" s="288">
        <v>2021</v>
      </c>
      <c r="X3" s="289"/>
      <c r="Y3" s="289"/>
      <c r="AB3" s="184">
        <v>2020</v>
      </c>
      <c r="AC3" s="184" t="s">
        <v>180</v>
      </c>
      <c r="AD3" s="184">
        <v>2022</v>
      </c>
      <c r="AE3" s="184">
        <v>2022</v>
      </c>
      <c r="AF3" s="184">
        <v>2022</v>
      </c>
      <c r="AG3" s="184">
        <v>2022</v>
      </c>
      <c r="AH3" s="184">
        <v>2023</v>
      </c>
      <c r="AI3" s="184">
        <v>2023</v>
      </c>
      <c r="AJ3" s="184">
        <v>2023</v>
      </c>
      <c r="AK3" s="184">
        <v>2023</v>
      </c>
      <c r="AL3" s="184">
        <v>2024</v>
      </c>
      <c r="AM3" s="184">
        <v>2024</v>
      </c>
      <c r="AN3" s="184">
        <v>2024</v>
      </c>
    </row>
    <row r="4" spans="2:40" ht="15.75" customHeight="1" x14ac:dyDescent="0.35">
      <c r="B4" t="s">
        <v>158</v>
      </c>
      <c r="C4" s="207" t="s">
        <v>115</v>
      </c>
      <c r="D4" s="208" t="s">
        <v>116</v>
      </c>
      <c r="E4" s="208" t="s">
        <v>117</v>
      </c>
      <c r="F4" s="219" t="s">
        <v>118</v>
      </c>
      <c r="G4" s="207" t="s">
        <v>115</v>
      </c>
      <c r="H4" s="208" t="s">
        <v>116</v>
      </c>
      <c r="I4" s="208" t="s">
        <v>117</v>
      </c>
      <c r="J4" s="219" t="s">
        <v>118</v>
      </c>
      <c r="K4" s="207" t="s">
        <v>115</v>
      </c>
      <c r="L4" s="208" t="s">
        <v>116</v>
      </c>
      <c r="M4" s="208" t="s">
        <v>117</v>
      </c>
      <c r="N4" s="219" t="s">
        <v>118</v>
      </c>
      <c r="O4" s="207" t="s">
        <v>115</v>
      </c>
      <c r="P4" s="208" t="s">
        <v>116</v>
      </c>
      <c r="Q4" s="208" t="s">
        <v>117</v>
      </c>
      <c r="R4" s="219" t="s">
        <v>118</v>
      </c>
      <c r="S4" s="207" t="s">
        <v>115</v>
      </c>
      <c r="T4" s="208" t="s">
        <v>116</v>
      </c>
      <c r="U4" s="208" t="s">
        <v>117</v>
      </c>
      <c r="V4" s="219" t="s">
        <v>118</v>
      </c>
      <c r="W4" s="207" t="s">
        <v>115</v>
      </c>
      <c r="X4" s="208" t="s">
        <v>116</v>
      </c>
      <c r="Y4" s="208" t="s">
        <v>117</v>
      </c>
      <c r="AA4" t="s">
        <v>158</v>
      </c>
      <c r="AB4" s="257" t="s">
        <v>118</v>
      </c>
      <c r="AC4" s="257" t="s">
        <v>118</v>
      </c>
      <c r="AD4" s="257" t="s">
        <v>115</v>
      </c>
      <c r="AE4" s="257" t="s">
        <v>116</v>
      </c>
      <c r="AF4" s="257" t="s">
        <v>117</v>
      </c>
      <c r="AG4" s="257" t="s">
        <v>118</v>
      </c>
      <c r="AH4" s="257" t="s">
        <v>115</v>
      </c>
      <c r="AI4" s="257" t="s">
        <v>116</v>
      </c>
      <c r="AJ4" s="257" t="s">
        <v>117</v>
      </c>
      <c r="AK4" s="257" t="s">
        <v>118</v>
      </c>
      <c r="AL4" s="257" t="s">
        <v>115</v>
      </c>
      <c r="AM4" s="257" t="s">
        <v>116</v>
      </c>
      <c r="AN4" s="257" t="s">
        <v>117</v>
      </c>
    </row>
    <row r="5" spans="2:40" ht="31.5" customHeight="1" x14ac:dyDescent="0.35">
      <c r="B5" s="76" t="s">
        <v>166</v>
      </c>
      <c r="C5" s="209" t="s">
        <v>127</v>
      </c>
      <c r="D5" s="210" t="s">
        <v>138</v>
      </c>
      <c r="E5" s="210" t="s">
        <v>146</v>
      </c>
      <c r="F5" s="220" t="s">
        <v>153</v>
      </c>
      <c r="G5" s="209" t="s">
        <v>214</v>
      </c>
      <c r="H5" s="210" t="s">
        <v>136</v>
      </c>
      <c r="I5" s="210" t="s">
        <v>144</v>
      </c>
      <c r="J5" s="220" t="s">
        <v>152</v>
      </c>
      <c r="K5" s="209" t="s">
        <v>122</v>
      </c>
      <c r="L5" s="210" t="s">
        <v>134</v>
      </c>
      <c r="M5" s="210" t="s">
        <v>143</v>
      </c>
      <c r="N5" s="220" t="s">
        <v>151</v>
      </c>
      <c r="O5" s="209" t="s">
        <v>119</v>
      </c>
      <c r="P5" s="210" t="s">
        <v>131</v>
      </c>
      <c r="Q5" s="210" t="s">
        <v>141</v>
      </c>
      <c r="R5" s="220" t="s">
        <v>150</v>
      </c>
      <c r="S5" s="209" t="s">
        <v>111</v>
      </c>
      <c r="T5" s="210" t="s">
        <v>130</v>
      </c>
      <c r="U5" s="210" t="s">
        <v>140</v>
      </c>
      <c r="V5" s="220" t="s">
        <v>149</v>
      </c>
      <c r="W5" s="209" t="s">
        <v>110</v>
      </c>
      <c r="X5" s="266" t="s">
        <v>156</v>
      </c>
      <c r="Y5" s="266" t="s">
        <v>157</v>
      </c>
      <c r="AA5" s="76" t="s">
        <v>166</v>
      </c>
      <c r="AB5" s="186" t="s">
        <v>197</v>
      </c>
      <c r="AC5" s="186" t="s">
        <v>155</v>
      </c>
      <c r="AD5" s="186" t="s">
        <v>196</v>
      </c>
      <c r="AE5" s="186" t="s">
        <v>198</v>
      </c>
      <c r="AF5" s="186" t="s">
        <v>202</v>
      </c>
      <c r="AG5" s="186" t="s">
        <v>203</v>
      </c>
      <c r="AH5" s="186" t="s">
        <v>204</v>
      </c>
      <c r="AI5" s="186" t="s">
        <v>207</v>
      </c>
      <c r="AJ5" s="186" t="s">
        <v>209</v>
      </c>
      <c r="AK5" s="186" t="s">
        <v>213</v>
      </c>
      <c r="AL5" s="186" t="s">
        <v>217</v>
      </c>
      <c r="AM5" s="186" t="s">
        <v>220</v>
      </c>
      <c r="AN5" s="186" t="s">
        <v>224</v>
      </c>
    </row>
    <row r="6" spans="2:40" ht="15.75" customHeight="1" x14ac:dyDescent="0.35">
      <c r="B6" s="10" t="s">
        <v>62</v>
      </c>
      <c r="C6" s="221"/>
      <c r="D6" s="222"/>
      <c r="E6" s="222"/>
      <c r="F6" s="223"/>
      <c r="G6" s="221"/>
      <c r="H6" s="222"/>
      <c r="I6" s="222"/>
      <c r="J6" s="223"/>
      <c r="K6" s="221"/>
      <c r="L6" s="222"/>
      <c r="M6" s="222"/>
      <c r="N6" s="223"/>
      <c r="O6" s="221"/>
      <c r="P6" s="222"/>
      <c r="Q6" s="222"/>
      <c r="R6" s="223"/>
      <c r="S6" s="221"/>
      <c r="T6" s="222"/>
      <c r="U6" s="222"/>
      <c r="V6" s="223"/>
      <c r="W6" s="221"/>
      <c r="X6" s="222"/>
      <c r="Y6" s="222"/>
      <c r="AA6" s="10" t="s">
        <v>62</v>
      </c>
      <c r="AB6" s="258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</row>
    <row r="7" spans="2:40" ht="15.75" customHeight="1" x14ac:dyDescent="0.35">
      <c r="B7" s="40" t="s">
        <v>63</v>
      </c>
      <c r="C7" s="224">
        <v>-239607.72000020152</v>
      </c>
      <c r="D7" s="211">
        <v>1793596.8100000024</v>
      </c>
      <c r="E7" s="211">
        <v>6084367.340001747</v>
      </c>
      <c r="F7" s="225">
        <v>5612152.3000019696</v>
      </c>
      <c r="G7" s="224">
        <v>1454794.7799999691</v>
      </c>
      <c r="H7" s="211">
        <v>3095886.3300002897</v>
      </c>
      <c r="I7" s="211">
        <v>4615289.0000000093</v>
      </c>
      <c r="J7" s="225">
        <v>0</v>
      </c>
      <c r="K7" s="224">
        <v>597376</v>
      </c>
      <c r="L7" s="211">
        <v>-1915726</v>
      </c>
      <c r="M7" s="211">
        <v>361837</v>
      </c>
      <c r="N7" s="225">
        <v>1129993.9999999991</v>
      </c>
      <c r="O7" s="224">
        <v>-3398888.3500000066</v>
      </c>
      <c r="P7" s="211">
        <v>-4296100</v>
      </c>
      <c r="Q7" s="211">
        <v>-9119246</v>
      </c>
      <c r="R7" s="225">
        <v>-1436023</v>
      </c>
      <c r="S7" s="224">
        <v>-12842261</v>
      </c>
      <c r="T7" s="211">
        <v>-2874799</v>
      </c>
      <c r="U7" s="211">
        <v>-1219616</v>
      </c>
      <c r="V7" s="225">
        <v>-7794330</v>
      </c>
      <c r="W7" s="224">
        <v>-1608777</v>
      </c>
      <c r="X7" s="211">
        <v>820542</v>
      </c>
      <c r="Y7" s="211">
        <v>-785272</v>
      </c>
      <c r="AA7" s="40" t="s">
        <v>63</v>
      </c>
      <c r="AB7" s="188">
        <v>-7794330</v>
      </c>
      <c r="AC7" s="188">
        <v>-36197</v>
      </c>
      <c r="AD7" s="188">
        <v>-7979035</v>
      </c>
      <c r="AE7" s="188">
        <v>-21125934</v>
      </c>
      <c r="AF7" s="188">
        <v>-33573783</v>
      </c>
      <c r="AG7" s="188">
        <v>-28215091.030000001</v>
      </c>
      <c r="AH7" s="188">
        <v>-7708938</v>
      </c>
      <c r="AI7" s="188">
        <v>4258299.0000000242</v>
      </c>
      <c r="AJ7" s="188">
        <v>-1252640.0000000019</v>
      </c>
      <c r="AK7" s="188">
        <v>8894328.6599939931</v>
      </c>
      <c r="AL7" s="188">
        <v>1811676.9999999832</v>
      </c>
      <c r="AM7" s="188">
        <v>3705411.5199968694</v>
      </c>
      <c r="AN7" s="188">
        <v>18734972.000000007</v>
      </c>
    </row>
    <row r="8" spans="2:40" ht="15.75" customHeight="1" x14ac:dyDescent="0.35">
      <c r="B8" s="40" t="s">
        <v>64</v>
      </c>
      <c r="C8" s="216">
        <f>SUM(C9:C18)</f>
        <v>2591492.7799831382</v>
      </c>
      <c r="D8" s="214">
        <f t="shared" ref="D8:W8" si="0">SUM(D9:D18)</f>
        <v>3282361.7499846555</v>
      </c>
      <c r="E8" s="214">
        <f t="shared" si="0"/>
        <v>5036776.3299853653</v>
      </c>
      <c r="F8" s="226">
        <f t="shared" si="0"/>
        <v>15151155.530040992</v>
      </c>
      <c r="G8" s="216">
        <f t="shared" si="0"/>
        <v>-589387.27007588977</v>
      </c>
      <c r="H8" s="214">
        <f t="shared" si="0"/>
        <v>6805145.3499340918</v>
      </c>
      <c r="I8" s="214">
        <f t="shared" si="0"/>
        <v>14943291.626287907</v>
      </c>
      <c r="J8" s="226">
        <f t="shared" si="0"/>
        <v>20957453.259924926</v>
      </c>
      <c r="K8" s="216">
        <f t="shared" si="0"/>
        <v>6272394.0076632928</v>
      </c>
      <c r="L8" s="214">
        <f t="shared" si="0"/>
        <v>11075286.177645231</v>
      </c>
      <c r="M8" s="214">
        <f t="shared" si="0"/>
        <v>7940553</v>
      </c>
      <c r="N8" s="226">
        <f t="shared" si="0"/>
        <v>13333747.68765679</v>
      </c>
      <c r="O8" s="216">
        <f t="shared" si="0"/>
        <v>24425964.629999995</v>
      </c>
      <c r="P8" s="214">
        <f t="shared" si="0"/>
        <v>41149198.789999999</v>
      </c>
      <c r="Q8" s="214">
        <f t="shared" si="0"/>
        <v>65160246.309999995</v>
      </c>
      <c r="R8" s="226">
        <f t="shared" si="0"/>
        <v>78508072.340000004</v>
      </c>
      <c r="S8" s="216">
        <f t="shared" si="0"/>
        <v>26841817.079999998</v>
      </c>
      <c r="T8" s="214">
        <f t="shared" si="0"/>
        <v>56801404.480000004</v>
      </c>
      <c r="U8" s="214">
        <f t="shared" si="0"/>
        <v>71981628.810000002</v>
      </c>
      <c r="V8" s="226">
        <f t="shared" si="0"/>
        <v>85468573.310000002</v>
      </c>
      <c r="W8" s="216">
        <f t="shared" si="0"/>
        <v>17966661.5</v>
      </c>
      <c r="X8" s="214">
        <f t="shared" ref="X8" si="1">SUM(X9:X18)</f>
        <v>31788321.620000005</v>
      </c>
      <c r="Y8" s="214">
        <f t="shared" ref="Y8" si="2">SUM(Y9:Y18)</f>
        <v>52020139.189999998</v>
      </c>
      <c r="AA8" s="40" t="s">
        <v>64</v>
      </c>
      <c r="AB8" s="195">
        <v>85468573.310000002</v>
      </c>
      <c r="AC8" s="195">
        <v>69900081.350000009</v>
      </c>
      <c r="AD8" s="195">
        <f t="shared" ref="AD8:AJ8" si="3">SUM(AD9:AD17)</f>
        <v>15803754.929999998</v>
      </c>
      <c r="AE8" s="195">
        <f t="shared" si="3"/>
        <v>33217425.670000002</v>
      </c>
      <c r="AF8" s="195">
        <f t="shared" si="3"/>
        <v>61329787.590000004</v>
      </c>
      <c r="AG8" s="195">
        <f t="shared" si="3"/>
        <v>68333177.879999995</v>
      </c>
      <c r="AH8" s="195">
        <f t="shared" si="3"/>
        <v>28776156.219999999</v>
      </c>
      <c r="AI8" s="195">
        <f t="shared" si="3"/>
        <v>37863471.649999999</v>
      </c>
      <c r="AJ8" s="195">
        <f t="shared" si="3"/>
        <v>58350982.239999995</v>
      </c>
      <c r="AK8" s="195">
        <f t="shared" ref="AK8:AL8" si="4">SUM(AK9:AK17)</f>
        <v>79264883.708300024</v>
      </c>
      <c r="AL8" s="195">
        <f t="shared" si="4"/>
        <v>30868385.541699786</v>
      </c>
      <c r="AM8" s="195">
        <f t="shared" ref="AM8:AN8" si="5">SUM(AM9:AM17)</f>
        <v>38983183.301699504</v>
      </c>
      <c r="AN8" s="195">
        <f t="shared" si="5"/>
        <v>55588431.211782038</v>
      </c>
    </row>
    <row r="9" spans="2:40" ht="15.75" customHeight="1" x14ac:dyDescent="0.35">
      <c r="B9" s="41" t="s">
        <v>65</v>
      </c>
      <c r="C9" s="227">
        <v>3211176.1</v>
      </c>
      <c r="D9" s="228">
        <v>6638465.4199999999</v>
      </c>
      <c r="E9" s="213">
        <v>10119626.68</v>
      </c>
      <c r="F9" s="229">
        <v>13806950.970000068</v>
      </c>
      <c r="G9" s="227">
        <v>3751707.7</v>
      </c>
      <c r="H9" s="228">
        <v>7575103.8600000003</v>
      </c>
      <c r="I9" s="213">
        <v>11474581.060000001</v>
      </c>
      <c r="J9" s="229">
        <v>15537120.210000429</v>
      </c>
      <c r="K9" s="227">
        <v>4068291</v>
      </c>
      <c r="L9" s="228">
        <v>8242093</v>
      </c>
      <c r="M9" s="213">
        <v>12607214</v>
      </c>
      <c r="N9" s="229">
        <v>17097445.75</v>
      </c>
      <c r="O9" s="227">
        <v>13768559</v>
      </c>
      <c r="P9" s="228">
        <v>27969976</v>
      </c>
      <c r="Q9" s="228">
        <v>42348240</v>
      </c>
      <c r="R9" s="229">
        <v>56567466.729999997</v>
      </c>
      <c r="S9" s="227">
        <v>14252501</v>
      </c>
      <c r="T9" s="228">
        <v>28428404</v>
      </c>
      <c r="U9" s="228">
        <v>42449141</v>
      </c>
      <c r="V9" s="229">
        <v>56405504</v>
      </c>
      <c r="W9" s="227">
        <v>14043475</v>
      </c>
      <c r="X9" s="213">
        <v>28167113</v>
      </c>
      <c r="Y9" s="213">
        <v>42420551</v>
      </c>
      <c r="AA9" s="41" t="s">
        <v>65</v>
      </c>
      <c r="AB9" s="190">
        <v>56405504</v>
      </c>
      <c r="AC9" s="190">
        <v>56968384</v>
      </c>
      <c r="AD9" s="190">
        <v>15014740</v>
      </c>
      <c r="AE9" s="190">
        <v>30068593</v>
      </c>
      <c r="AF9" s="190">
        <v>45715770</v>
      </c>
      <c r="AG9" s="190">
        <v>61677136</v>
      </c>
      <c r="AH9" s="190">
        <v>17592862</v>
      </c>
      <c r="AI9" s="190">
        <v>35499005.07</v>
      </c>
      <c r="AJ9" s="190">
        <v>53879295</v>
      </c>
      <c r="AK9" s="190">
        <v>71988483.689999789</v>
      </c>
      <c r="AL9" s="190">
        <v>18557697</v>
      </c>
      <c r="AM9" s="190">
        <v>37538652.769999996</v>
      </c>
      <c r="AN9" s="190">
        <v>56112927.609999895</v>
      </c>
    </row>
    <row r="10" spans="2:40" ht="15.75" customHeight="1" x14ac:dyDescent="0.35">
      <c r="B10" s="41" t="s">
        <v>66</v>
      </c>
      <c r="C10" s="216"/>
      <c r="D10" s="214"/>
      <c r="E10" s="214"/>
      <c r="F10" s="226"/>
      <c r="G10" s="216"/>
      <c r="H10" s="214"/>
      <c r="I10" s="214"/>
      <c r="J10" s="226"/>
      <c r="K10" s="216"/>
      <c r="L10" s="214"/>
      <c r="M10" s="214"/>
      <c r="N10" s="226"/>
      <c r="O10" s="216"/>
      <c r="P10" s="214"/>
      <c r="Q10" s="214"/>
      <c r="R10" s="229">
        <v>-1509018</v>
      </c>
      <c r="S10" s="227">
        <v>10687012</v>
      </c>
      <c r="T10" s="228">
        <v>7558435.71</v>
      </c>
      <c r="U10" s="213">
        <v>9417303</v>
      </c>
      <c r="V10" s="229">
        <v>12815360</v>
      </c>
      <c r="W10" s="227">
        <v>1508423</v>
      </c>
      <c r="X10" s="213">
        <v>-3467698</v>
      </c>
      <c r="Y10" s="213">
        <v>351372</v>
      </c>
      <c r="AA10" s="41" t="s">
        <v>66</v>
      </c>
      <c r="AB10" s="190">
        <v>12815360</v>
      </c>
      <c r="AC10" s="190">
        <v>-692533</v>
      </c>
      <c r="AD10" s="190">
        <v>1557422.93</v>
      </c>
      <c r="AE10" s="190">
        <v>2560824.5299999998</v>
      </c>
      <c r="AF10" s="190">
        <v>2560824.5299999993</v>
      </c>
      <c r="AG10" s="190">
        <v>2776275.19</v>
      </c>
      <c r="AH10" s="190">
        <v>-680005</v>
      </c>
      <c r="AI10" s="190">
        <v>-10530955.140000001</v>
      </c>
      <c r="AJ10" s="190">
        <v>-2479621.46</v>
      </c>
      <c r="AK10" s="190">
        <v>-14589394.83</v>
      </c>
      <c r="AL10" s="190">
        <v>-2006117.31</v>
      </c>
      <c r="AM10" s="190">
        <v>-1328301.6200000001</v>
      </c>
      <c r="AN10" s="190">
        <v>-2958180.62</v>
      </c>
    </row>
    <row r="11" spans="2:40" ht="15.75" customHeight="1" x14ac:dyDescent="0.35">
      <c r="B11" s="41" t="s">
        <v>67</v>
      </c>
      <c r="C11" s="230">
        <v>288939.75</v>
      </c>
      <c r="D11" s="212">
        <v>567101.32000000007</v>
      </c>
      <c r="E11" s="212">
        <v>876451.93</v>
      </c>
      <c r="F11" s="231">
        <v>1196057.6100000003</v>
      </c>
      <c r="G11" s="230">
        <v>313399</v>
      </c>
      <c r="H11" s="212">
        <v>629086.31000000006</v>
      </c>
      <c r="I11" s="212">
        <v>966197.40999999992</v>
      </c>
      <c r="J11" s="231">
        <v>1254224.2100000002</v>
      </c>
      <c r="K11" s="230">
        <v>760533.65999999992</v>
      </c>
      <c r="L11" s="212">
        <v>736479.7799999998</v>
      </c>
      <c r="M11" s="212">
        <v>1036041</v>
      </c>
      <c r="N11" s="231">
        <v>1523478.77</v>
      </c>
      <c r="O11" s="230">
        <v>2254479.2299999986</v>
      </c>
      <c r="P11" s="212">
        <v>3198100.54</v>
      </c>
      <c r="Q11" s="212">
        <v>4847986.2299999977</v>
      </c>
      <c r="R11" s="231">
        <v>8985899</v>
      </c>
      <c r="S11" s="230">
        <v>1997158.2200000004</v>
      </c>
      <c r="T11" s="228">
        <v>3822511.3900000025</v>
      </c>
      <c r="U11" s="212">
        <v>5654942.0100000007</v>
      </c>
      <c r="V11" s="231">
        <v>7572531.3900000006</v>
      </c>
      <c r="W11" s="230">
        <v>1728306.4599999997</v>
      </c>
      <c r="X11" s="212">
        <v>3525528.6500000008</v>
      </c>
      <c r="Y11" s="212">
        <v>5182726.2899999991</v>
      </c>
      <c r="AA11" s="41" t="s">
        <v>191</v>
      </c>
      <c r="AB11" s="189">
        <v>7572531.3900000006</v>
      </c>
      <c r="AC11" s="189">
        <v>7104495.2300000014</v>
      </c>
      <c r="AD11" s="189">
        <v>1768573.14</v>
      </c>
      <c r="AE11" s="189">
        <v>3769119.1100000003</v>
      </c>
      <c r="AF11" s="189">
        <v>5690435.6099999994</v>
      </c>
      <c r="AG11" s="189">
        <v>7690274</v>
      </c>
      <c r="AH11" s="189">
        <v>2462390.38</v>
      </c>
      <c r="AI11" s="189">
        <v>5003589.5599999996</v>
      </c>
      <c r="AJ11" s="189">
        <v>7555146.1400000006</v>
      </c>
      <c r="AK11" s="189">
        <v>10042721</v>
      </c>
      <c r="AL11" s="189">
        <v>2424264.4900000002</v>
      </c>
      <c r="AM11" s="190">
        <v>5197923.1700000009</v>
      </c>
      <c r="AN11" s="190">
        <v>7857322.4299999997</v>
      </c>
    </row>
    <row r="12" spans="2:40" ht="15.75" customHeight="1" x14ac:dyDescent="0.35">
      <c r="B12" s="41" t="s">
        <v>68</v>
      </c>
      <c r="C12" s="227">
        <v>27098.419999999984</v>
      </c>
      <c r="D12" s="213">
        <v>215213.77999999994</v>
      </c>
      <c r="E12" s="213">
        <v>194508.79999999996</v>
      </c>
      <c r="F12" s="229">
        <v>327896.22000000003</v>
      </c>
      <c r="G12" s="227">
        <v>140877.23000000001</v>
      </c>
      <c r="H12" s="213">
        <v>189529.43</v>
      </c>
      <c r="I12" s="213">
        <v>335125.78999999998</v>
      </c>
      <c r="J12" s="229">
        <v>453754.65</v>
      </c>
      <c r="K12" s="227">
        <v>3274</v>
      </c>
      <c r="L12" s="213">
        <v>33425.65</v>
      </c>
      <c r="M12" s="213">
        <v>-2730329</v>
      </c>
      <c r="N12" s="229">
        <v>197294</v>
      </c>
      <c r="O12" s="227">
        <v>49030</v>
      </c>
      <c r="P12" s="213">
        <v>-1652793.97</v>
      </c>
      <c r="Q12" s="213">
        <v>3242012.86</v>
      </c>
      <c r="R12" s="229">
        <v>659268.6100000001</v>
      </c>
      <c r="S12" s="227">
        <v>183678.30000000002</v>
      </c>
      <c r="T12" s="228">
        <v>800547.38</v>
      </c>
      <c r="U12" s="213">
        <v>926465.43</v>
      </c>
      <c r="V12" s="229">
        <v>6015364.3899999997</v>
      </c>
      <c r="W12" s="227">
        <v>64713.630000000005</v>
      </c>
      <c r="X12" s="213">
        <v>3149.9200000000274</v>
      </c>
      <c r="Y12" s="213">
        <v>37452.409999999989</v>
      </c>
      <c r="AA12" s="41" t="s">
        <v>68</v>
      </c>
      <c r="AB12" s="190">
        <v>6015364.3899999997</v>
      </c>
      <c r="AC12" s="190">
        <v>679128.77999999991</v>
      </c>
      <c r="AD12" s="190">
        <v>768428.99</v>
      </c>
      <c r="AE12" s="190">
        <v>1744366</v>
      </c>
      <c r="AF12" s="190">
        <v>1875517.5100000002</v>
      </c>
      <c r="AG12" s="190">
        <v>3158175.7300000004</v>
      </c>
      <c r="AH12" s="190">
        <v>-603229.99</v>
      </c>
      <c r="AI12" s="190">
        <v>-551985.54</v>
      </c>
      <c r="AJ12" s="190">
        <v>-395566.08000000042</v>
      </c>
      <c r="AK12" s="190">
        <v>703023.49000000081</v>
      </c>
      <c r="AL12" s="190">
        <v>1797422.9200000002</v>
      </c>
      <c r="AM12" s="190">
        <v>4458492.09</v>
      </c>
      <c r="AN12" s="190">
        <v>2568180.9000000004</v>
      </c>
    </row>
    <row r="13" spans="2:40" ht="15.75" customHeight="1" x14ac:dyDescent="0.35">
      <c r="B13" s="41" t="s">
        <v>69</v>
      </c>
      <c r="C13" s="227">
        <v>562044.99999999907</v>
      </c>
      <c r="D13" s="213">
        <v>959830</v>
      </c>
      <c r="E13" s="213">
        <v>464027</v>
      </c>
      <c r="F13" s="229">
        <v>709767.18005488999</v>
      </c>
      <c r="G13" s="227">
        <v>485561.59994510934</v>
      </c>
      <c r="H13" s="213">
        <v>315615.17486155219</v>
      </c>
      <c r="I13" s="213">
        <v>-180875.27369288914</v>
      </c>
      <c r="J13" s="229">
        <v>152129.81994511001</v>
      </c>
      <c r="K13" s="227">
        <v>-123101</v>
      </c>
      <c r="L13" s="213">
        <v>301315</v>
      </c>
      <c r="M13" s="213">
        <v>-422982</v>
      </c>
      <c r="N13" s="229">
        <v>-711476</v>
      </c>
      <c r="O13" s="227">
        <v>753561</v>
      </c>
      <c r="P13" s="213">
        <v>1007617</v>
      </c>
      <c r="Q13" s="213">
        <v>302254</v>
      </c>
      <c r="R13" s="229">
        <v>81220</v>
      </c>
      <c r="S13" s="227">
        <v>879350</v>
      </c>
      <c r="T13" s="232">
        <v>2120643</v>
      </c>
      <c r="U13" s="213">
        <v>1511441</v>
      </c>
      <c r="V13" s="229">
        <v>-11013</v>
      </c>
      <c r="W13" s="227">
        <v>628153</v>
      </c>
      <c r="X13" s="213">
        <v>1446605</v>
      </c>
      <c r="Y13" s="213">
        <v>214974</v>
      </c>
      <c r="AA13" s="41" t="s">
        <v>69</v>
      </c>
      <c r="AB13" s="190">
        <v>-11013</v>
      </c>
      <c r="AC13" s="190">
        <v>-175566</v>
      </c>
      <c r="AD13" s="190">
        <v>278756</v>
      </c>
      <c r="AE13" s="190">
        <v>1616469</v>
      </c>
      <c r="AF13" s="190">
        <v>631268</v>
      </c>
      <c r="AG13" s="190">
        <v>260211</v>
      </c>
      <c r="AH13" s="190">
        <v>1192694</v>
      </c>
      <c r="AI13" s="190">
        <v>1499959</v>
      </c>
      <c r="AJ13" s="190">
        <v>490101</v>
      </c>
      <c r="AK13" s="190">
        <v>507029.11829999997</v>
      </c>
      <c r="AL13" s="190">
        <v>1388816.8817</v>
      </c>
      <c r="AM13" s="190">
        <v>1628422.2416999999</v>
      </c>
      <c r="AN13" s="190">
        <v>1294263.2416999999</v>
      </c>
    </row>
    <row r="14" spans="2:40" ht="15.75" customHeight="1" x14ac:dyDescent="0.35">
      <c r="B14" s="41" t="s">
        <v>70</v>
      </c>
      <c r="C14" s="230">
        <v>-3002.3800253421068</v>
      </c>
      <c r="D14" s="212">
        <v>-354122.77002584934</v>
      </c>
      <c r="E14" s="212">
        <v>-638099.29002545774</v>
      </c>
      <c r="F14" s="231">
        <v>-323715.43002456427</v>
      </c>
      <c r="G14" s="230">
        <v>5645.7499970495701</v>
      </c>
      <c r="H14" s="212">
        <v>-202481.5800023675</v>
      </c>
      <c r="I14" s="212">
        <v>-394400.3500020057</v>
      </c>
      <c r="J14" s="231">
        <v>-478679.39000202715</v>
      </c>
      <c r="K14" s="230">
        <v>-92551.252354755998</v>
      </c>
      <c r="L14" s="212">
        <v>-402011.252354756</v>
      </c>
      <c r="M14" s="212">
        <v>-697079</v>
      </c>
      <c r="N14" s="231">
        <v>-1440176.252354756</v>
      </c>
      <c r="O14" s="230">
        <v>434202</v>
      </c>
      <c r="P14" s="212">
        <v>14064</v>
      </c>
      <c r="Q14" s="212">
        <v>67205</v>
      </c>
      <c r="R14" s="231">
        <v>193943</v>
      </c>
      <c r="S14" s="230">
        <v>-241143</v>
      </c>
      <c r="T14" s="232">
        <v>-594090</v>
      </c>
      <c r="U14" s="212">
        <v>-736249</v>
      </c>
      <c r="V14" s="231">
        <v>-976247</v>
      </c>
      <c r="W14" s="230">
        <v>805480</v>
      </c>
      <c r="X14" s="212">
        <v>930489</v>
      </c>
      <c r="Y14" s="212">
        <v>1326549</v>
      </c>
      <c r="AA14" s="41" t="s">
        <v>70</v>
      </c>
      <c r="AB14" s="189">
        <v>-976247</v>
      </c>
      <c r="AC14" s="189">
        <v>1670090</v>
      </c>
      <c r="AD14" s="189">
        <v>445954</v>
      </c>
      <c r="AE14" s="189">
        <v>184384</v>
      </c>
      <c r="AF14" s="189">
        <v>-289274</v>
      </c>
      <c r="AG14" s="189">
        <v>-470791</v>
      </c>
      <c r="AH14" s="189">
        <v>-70495</v>
      </c>
      <c r="AI14" s="189">
        <v>-296202</v>
      </c>
      <c r="AJ14" s="189">
        <v>-504144.31</v>
      </c>
      <c r="AK14" s="189">
        <v>-821917.24</v>
      </c>
      <c r="AL14" s="189">
        <v>103367</v>
      </c>
      <c r="AM14" s="190">
        <v>-74859</v>
      </c>
      <c r="AN14" s="190">
        <v>88176</v>
      </c>
    </row>
    <row r="15" spans="2:40" ht="15.75" customHeight="1" x14ac:dyDescent="0.35">
      <c r="B15" s="41" t="s">
        <v>71</v>
      </c>
      <c r="C15" s="233">
        <v>-1056724.1600000001</v>
      </c>
      <c r="D15" s="213">
        <v>-1213531.4099981207</v>
      </c>
      <c r="E15" s="213">
        <v>-2125029.0399984326</v>
      </c>
      <c r="F15" s="229">
        <v>-4669051.5099985301</v>
      </c>
      <c r="G15" s="227">
        <v>333450.70999131398</v>
      </c>
      <c r="H15" s="213">
        <v>-1846908.9600086045</v>
      </c>
      <c r="I15" s="213">
        <v>-679824.34000886884</v>
      </c>
      <c r="J15" s="229">
        <v>-5490987.8000098011</v>
      </c>
      <c r="K15" s="227">
        <v>219990.10000650119</v>
      </c>
      <c r="L15" s="213">
        <v>342637</v>
      </c>
      <c r="M15" s="213">
        <v>-2212724</v>
      </c>
      <c r="N15" s="229">
        <v>-7338451</v>
      </c>
      <c r="O15" s="227">
        <v>6346638</v>
      </c>
      <c r="P15" s="213">
        <v>4385822</v>
      </c>
      <c r="Q15" s="213">
        <v>8962370</v>
      </c>
      <c r="R15" s="229">
        <v>10204645</v>
      </c>
      <c r="S15" s="227">
        <v>-1859139</v>
      </c>
      <c r="T15" s="232">
        <v>5259342</v>
      </c>
      <c r="U15" s="213">
        <v>3625046</v>
      </c>
      <c r="V15" s="229">
        <v>4191972</v>
      </c>
      <c r="W15" s="227">
        <v>-1962145</v>
      </c>
      <c r="X15" s="213">
        <v>-1671359</v>
      </c>
      <c r="Y15" s="213">
        <v>-1296590</v>
      </c>
      <c r="AA15" s="41" t="s">
        <v>71</v>
      </c>
      <c r="AB15" s="190">
        <v>4191972</v>
      </c>
      <c r="AC15" s="190">
        <v>-3135087</v>
      </c>
      <c r="AD15" s="190">
        <v>-1850140</v>
      </c>
      <c r="AE15" s="190">
        <v>-4939886</v>
      </c>
      <c r="AF15" s="190">
        <v>-1796268</v>
      </c>
      <c r="AG15" s="190">
        <v>-5710866</v>
      </c>
      <c r="AH15" s="190">
        <v>3304195</v>
      </c>
      <c r="AI15" s="190">
        <v>-530890</v>
      </c>
      <c r="AJ15" s="190">
        <v>-2634455.75</v>
      </c>
      <c r="AK15" s="190">
        <v>-6745773.3300000001</v>
      </c>
      <c r="AL15" s="190">
        <v>9503229.870000001</v>
      </c>
      <c r="AM15" s="190">
        <v>3435282.49</v>
      </c>
      <c r="AN15" s="190">
        <v>1543336.8400821399</v>
      </c>
    </row>
    <row r="16" spans="2:40" ht="15.75" customHeight="1" x14ac:dyDescent="0.35">
      <c r="B16" s="41" t="s">
        <v>72</v>
      </c>
      <c r="C16" s="230">
        <v>1036688.0500084814</v>
      </c>
      <c r="D16" s="212">
        <v>-3204065.5099913711</v>
      </c>
      <c r="E16" s="212">
        <v>-3566065.0899907453</v>
      </c>
      <c r="F16" s="231">
        <v>4308822.5500091286</v>
      </c>
      <c r="G16" s="230">
        <v>-4264000.2000093441</v>
      </c>
      <c r="H16" s="212">
        <v>49979</v>
      </c>
      <c r="I16" s="212">
        <v>3791028.7499917187</v>
      </c>
      <c r="J16" s="231">
        <v>9515236.7699912414</v>
      </c>
      <c r="K16" s="230">
        <v>202423.50001155914</v>
      </c>
      <c r="L16" s="212">
        <v>272811</v>
      </c>
      <c r="M16" s="212">
        <v>-349071</v>
      </c>
      <c r="N16" s="231">
        <v>1921702.7400115598</v>
      </c>
      <c r="O16" s="230">
        <v>-413191.60000000009</v>
      </c>
      <c r="P16" s="212">
        <v>2628955.2200000007</v>
      </c>
      <c r="Q16" s="212">
        <v>1462379.2200000007</v>
      </c>
      <c r="R16" s="231">
        <v>-662636</v>
      </c>
      <c r="S16" s="230">
        <v>1627266.56</v>
      </c>
      <c r="T16" s="232">
        <v>8394015</v>
      </c>
      <c r="U16" s="212">
        <v>8097623.3699999992</v>
      </c>
      <c r="V16" s="231">
        <v>-724557.47000000137</v>
      </c>
      <c r="W16" s="230">
        <v>-162864.58999999985</v>
      </c>
      <c r="X16" s="212">
        <v>1325100.0499999998</v>
      </c>
      <c r="Y16" s="212">
        <v>1654646.49</v>
      </c>
      <c r="AA16" s="41" t="s">
        <v>72</v>
      </c>
      <c r="AB16" s="189">
        <v>-724557.47000000137</v>
      </c>
      <c r="AC16" s="189">
        <v>5461144.3399999999</v>
      </c>
      <c r="AD16" s="189">
        <v>-1230869.1300000001</v>
      </c>
      <c r="AE16" s="189">
        <v>-917781.9700000002</v>
      </c>
      <c r="AF16" s="189">
        <v>8333575.9400000013</v>
      </c>
      <c r="AG16" s="189">
        <v>508834.96000000043</v>
      </c>
      <c r="AH16" s="189">
        <v>6625563.8300000001</v>
      </c>
      <c r="AI16" s="189">
        <v>9414673.7000000011</v>
      </c>
      <c r="AJ16" s="189">
        <v>7902986.6900000004</v>
      </c>
      <c r="AK16" s="189">
        <v>21596337.48</v>
      </c>
      <c r="AL16" s="189">
        <v>8827205.0100000016</v>
      </c>
      <c r="AM16" s="190">
        <v>-167616.1799999997</v>
      </c>
      <c r="AN16" s="190">
        <v>170987.81000000006</v>
      </c>
    </row>
    <row r="17" spans="2:40" ht="15.75" customHeight="1" x14ac:dyDescent="0.35">
      <c r="B17" s="41" t="s">
        <v>73</v>
      </c>
      <c r="C17" s="227">
        <v>-1474728</v>
      </c>
      <c r="D17" s="213">
        <v>-326529.0800000038</v>
      </c>
      <c r="E17" s="213">
        <v>-288644.65999999898</v>
      </c>
      <c r="F17" s="229">
        <v>-205572.06000000122</v>
      </c>
      <c r="G17" s="227">
        <v>-1356029.0600000196</v>
      </c>
      <c r="H17" s="213">
        <v>95222.115083511453</v>
      </c>
      <c r="I17" s="213">
        <v>-368541.42000004661</v>
      </c>
      <c r="J17" s="229">
        <v>14654.789999975357</v>
      </c>
      <c r="K17" s="227">
        <v>1233533.9999999874</v>
      </c>
      <c r="L17" s="213">
        <v>1548535.9999999874</v>
      </c>
      <c r="M17" s="213">
        <v>709483</v>
      </c>
      <c r="N17" s="229">
        <v>2083929.6799999874</v>
      </c>
      <c r="O17" s="227">
        <v>1232687</v>
      </c>
      <c r="P17" s="213">
        <v>3597458</v>
      </c>
      <c r="Q17" s="213">
        <v>3927799</v>
      </c>
      <c r="R17" s="229">
        <v>3987284</v>
      </c>
      <c r="S17" s="227">
        <v>-684867</v>
      </c>
      <c r="T17" s="232">
        <v>1011596</v>
      </c>
      <c r="U17" s="213">
        <v>1035916</v>
      </c>
      <c r="V17" s="229">
        <v>179659</v>
      </c>
      <c r="W17" s="227">
        <v>1318071</v>
      </c>
      <c r="X17" s="213">
        <v>1529393</v>
      </c>
      <c r="Y17" s="213">
        <v>2128458</v>
      </c>
      <c r="AA17" s="41" t="s">
        <v>73</v>
      </c>
      <c r="AB17" s="190">
        <v>179659</v>
      </c>
      <c r="AC17" s="190">
        <v>2020025</v>
      </c>
      <c r="AD17" s="190">
        <v>-949111</v>
      </c>
      <c r="AE17" s="190">
        <v>-868662</v>
      </c>
      <c r="AF17" s="190">
        <v>-1392062</v>
      </c>
      <c r="AG17" s="190">
        <v>-1556072</v>
      </c>
      <c r="AH17" s="190">
        <v>-1047819</v>
      </c>
      <c r="AI17" s="190">
        <v>-1643723</v>
      </c>
      <c r="AJ17" s="190">
        <v>-5462758.9900000002</v>
      </c>
      <c r="AK17" s="190">
        <v>-3415625.6699997801</v>
      </c>
      <c r="AL17" s="190">
        <v>-9727500.3200002201</v>
      </c>
      <c r="AM17" s="190">
        <v>-11704812.660000492</v>
      </c>
      <c r="AN17" s="190">
        <v>-11088583</v>
      </c>
    </row>
    <row r="18" spans="2:40" ht="15.75" customHeight="1" x14ac:dyDescent="0.35">
      <c r="B18" s="41" t="s">
        <v>74</v>
      </c>
      <c r="C18" s="227"/>
      <c r="D18" s="213"/>
      <c r="E18" s="213"/>
      <c r="F18" s="229"/>
      <c r="G18" s="227"/>
      <c r="H18" s="213"/>
      <c r="I18" s="213"/>
      <c r="J18" s="229"/>
      <c r="K18" s="227"/>
      <c r="L18" s="213"/>
      <c r="M18" s="213"/>
      <c r="N18" s="229"/>
      <c r="O18" s="227"/>
      <c r="P18" s="213"/>
      <c r="Q18" s="213"/>
      <c r="R18" s="229"/>
      <c r="S18" s="227"/>
      <c r="T18" s="213"/>
      <c r="U18" s="213"/>
      <c r="V18" s="229"/>
      <c r="W18" s="227">
        <v>-4951</v>
      </c>
      <c r="X18" s="213"/>
      <c r="Y18" s="213"/>
      <c r="AA18" s="40" t="s">
        <v>75</v>
      </c>
      <c r="AB18" s="188">
        <v>77674243.310000002</v>
      </c>
      <c r="AC18" s="188">
        <v>69863884.350000009</v>
      </c>
      <c r="AD18" s="188">
        <f t="shared" ref="AD18:AI18" si="6">SUM(AD7:AD8)</f>
        <v>7824719.9299999978</v>
      </c>
      <c r="AE18" s="188">
        <f t="shared" si="6"/>
        <v>12091491.670000002</v>
      </c>
      <c r="AF18" s="188">
        <f t="shared" si="6"/>
        <v>27756004.590000004</v>
      </c>
      <c r="AG18" s="188">
        <f t="shared" si="6"/>
        <v>40118086.849999994</v>
      </c>
      <c r="AH18" s="188">
        <f t="shared" si="6"/>
        <v>21067218.219999999</v>
      </c>
      <c r="AI18" s="188">
        <f t="shared" si="6"/>
        <v>42121770.650000021</v>
      </c>
      <c r="AJ18" s="188">
        <f t="shared" ref="AJ18:AK18" si="7">SUM(AJ7:AJ8)</f>
        <v>57098342.239999995</v>
      </c>
      <c r="AK18" s="188">
        <f t="shared" si="7"/>
        <v>88159212.368294016</v>
      </c>
      <c r="AL18" s="188">
        <f t="shared" ref="AL18:AM18" si="8">SUM(AL7:AL8)</f>
        <v>32680062.541699767</v>
      </c>
      <c r="AM18" s="188">
        <f t="shared" si="8"/>
        <v>42688594.821696371</v>
      </c>
      <c r="AN18" s="188">
        <f t="shared" ref="AN18" si="9">SUM(AN7:AN8)</f>
        <v>74323403.211782038</v>
      </c>
    </row>
    <row r="19" spans="2:40" ht="15.75" customHeight="1" x14ac:dyDescent="0.35">
      <c r="B19" s="40" t="s">
        <v>75</v>
      </c>
      <c r="C19" s="224">
        <f t="shared" ref="C19:V19" si="10">SUM(C7:C8)</f>
        <v>2351885.0599829368</v>
      </c>
      <c r="D19" s="211">
        <f t="shared" si="10"/>
        <v>5075958.5599846579</v>
      </c>
      <c r="E19" s="211">
        <f t="shared" si="10"/>
        <v>11121143.669987112</v>
      </c>
      <c r="F19" s="225">
        <f t="shared" si="10"/>
        <v>20763307.830042962</v>
      </c>
      <c r="G19" s="224">
        <f t="shared" si="10"/>
        <v>865407.50992407929</v>
      </c>
      <c r="H19" s="211">
        <f t="shared" si="10"/>
        <v>9901031.6799343824</v>
      </c>
      <c r="I19" s="211">
        <f t="shared" si="10"/>
        <v>19558580.626287915</v>
      </c>
      <c r="J19" s="225">
        <f t="shared" si="10"/>
        <v>20957453.259924926</v>
      </c>
      <c r="K19" s="224">
        <f t="shared" si="10"/>
        <v>6869770.0076632928</v>
      </c>
      <c r="L19" s="211">
        <f t="shared" si="10"/>
        <v>9159560.1776452307</v>
      </c>
      <c r="M19" s="211">
        <f t="shared" si="10"/>
        <v>8302390</v>
      </c>
      <c r="N19" s="225">
        <f t="shared" si="10"/>
        <v>14463741.68765679</v>
      </c>
      <c r="O19" s="224">
        <f t="shared" si="10"/>
        <v>21027076.27999999</v>
      </c>
      <c r="P19" s="211">
        <f t="shared" si="10"/>
        <v>36853098.789999999</v>
      </c>
      <c r="Q19" s="211">
        <f t="shared" si="10"/>
        <v>56041000.309999995</v>
      </c>
      <c r="R19" s="225">
        <f t="shared" si="10"/>
        <v>77072049.340000004</v>
      </c>
      <c r="S19" s="224">
        <f t="shared" si="10"/>
        <v>13999556.079999998</v>
      </c>
      <c r="T19" s="211">
        <f t="shared" si="10"/>
        <v>53926605.480000004</v>
      </c>
      <c r="U19" s="211">
        <f t="shared" si="10"/>
        <v>70762012.810000002</v>
      </c>
      <c r="V19" s="225">
        <f t="shared" si="10"/>
        <v>77674243.310000002</v>
      </c>
      <c r="W19" s="224">
        <f>SUM(W7:W8)</f>
        <v>16357884.5</v>
      </c>
      <c r="X19" s="211">
        <f t="shared" ref="X19:Y19" si="11">SUM(X7:X8)</f>
        <v>32608863.620000005</v>
      </c>
      <c r="Y19" s="211">
        <f t="shared" si="11"/>
        <v>51234867.189999998</v>
      </c>
      <c r="AA19" s="41" t="s">
        <v>76</v>
      </c>
      <c r="AB19" s="189">
        <v>-2937709</v>
      </c>
      <c r="AC19" s="189">
        <v>-1621077</v>
      </c>
      <c r="AD19" s="189">
        <v>174801</v>
      </c>
      <c r="AE19" s="189">
        <v>126207</v>
      </c>
      <c r="AF19" s="189">
        <v>126207</v>
      </c>
      <c r="AG19" s="189">
        <v>5736</v>
      </c>
      <c r="AH19" s="189"/>
      <c r="AI19" s="189"/>
      <c r="AJ19" s="189"/>
      <c r="AK19" s="189">
        <v>-239800</v>
      </c>
      <c r="AL19" s="189">
        <v>0</v>
      </c>
      <c r="AM19" s="189">
        <v>436256</v>
      </c>
      <c r="AN19" s="189">
        <v>-1067300</v>
      </c>
    </row>
    <row r="20" spans="2:40" ht="15.75" customHeight="1" x14ac:dyDescent="0.35">
      <c r="B20" s="41" t="s">
        <v>76</v>
      </c>
      <c r="C20" s="230"/>
      <c r="D20" s="212"/>
      <c r="E20" s="212"/>
      <c r="F20" s="231">
        <v>-542256</v>
      </c>
      <c r="G20" s="230">
        <v>-783479</v>
      </c>
      <c r="H20" s="212">
        <v>-959371</v>
      </c>
      <c r="I20" s="212">
        <v>-1420161</v>
      </c>
      <c r="J20" s="231">
        <v>-379530</v>
      </c>
      <c r="K20" s="230">
        <v>-1012100</v>
      </c>
      <c r="L20" s="212">
        <v>-750184</v>
      </c>
      <c r="M20" s="212">
        <v>-1863597</v>
      </c>
      <c r="N20" s="231">
        <v>-1451946</v>
      </c>
      <c r="O20" s="230">
        <v>-764652</v>
      </c>
      <c r="P20" s="212">
        <v>-899585</v>
      </c>
      <c r="Q20" s="212">
        <v>-1139101</v>
      </c>
      <c r="R20" s="231">
        <v>-1187457</v>
      </c>
      <c r="S20" s="230">
        <v>-526524</v>
      </c>
      <c r="T20" s="212">
        <v>-1609177</v>
      </c>
      <c r="U20" s="212">
        <v>-2572192</v>
      </c>
      <c r="V20" s="231">
        <v>-2937709</v>
      </c>
      <c r="W20" s="230">
        <v>-958388</v>
      </c>
      <c r="X20" s="212">
        <v>-1250686</v>
      </c>
      <c r="Y20" s="212">
        <v>-2164194</v>
      </c>
      <c r="AA20" s="42" t="s">
        <v>77</v>
      </c>
      <c r="AB20" s="188">
        <v>74736534.310000002</v>
      </c>
      <c r="AC20" s="188">
        <v>68242807.350000009</v>
      </c>
      <c r="AD20" s="188">
        <f t="shared" ref="AD20:AJ20" si="12">SUM(AD18:AD19)</f>
        <v>7999520.9299999978</v>
      </c>
      <c r="AE20" s="188">
        <f t="shared" si="12"/>
        <v>12217698.670000002</v>
      </c>
      <c r="AF20" s="188">
        <f t="shared" si="12"/>
        <v>27882211.590000004</v>
      </c>
      <c r="AG20" s="188">
        <f t="shared" si="12"/>
        <v>40123822.849999994</v>
      </c>
      <c r="AH20" s="188">
        <f t="shared" si="12"/>
        <v>21067218.219999999</v>
      </c>
      <c r="AI20" s="188">
        <f t="shared" si="12"/>
        <v>42121770.650000021</v>
      </c>
      <c r="AJ20" s="188">
        <f t="shared" si="12"/>
        <v>57098342.239999995</v>
      </c>
      <c r="AK20" s="188">
        <f t="shared" ref="AK20:AL20" si="13">SUM(AK18:AK19)</f>
        <v>87919412.368294016</v>
      </c>
      <c r="AL20" s="188">
        <f t="shared" si="13"/>
        <v>32680062.541699767</v>
      </c>
      <c r="AM20" s="188">
        <f t="shared" ref="AM20:AN20" si="14">SUM(AM18:AM19)</f>
        <v>43124850.821696371</v>
      </c>
      <c r="AN20" s="188">
        <f t="shared" si="14"/>
        <v>73256103.211782038</v>
      </c>
    </row>
    <row r="21" spans="2:40" ht="15.75" customHeight="1" x14ac:dyDescent="0.35">
      <c r="B21" s="42" t="s">
        <v>77</v>
      </c>
      <c r="C21" s="224">
        <f>SUM(C19:C20)</f>
        <v>2351885.0599829368</v>
      </c>
      <c r="D21" s="211">
        <f t="shared" ref="D21:Y21" si="15">SUM(D19:D20)</f>
        <v>5075958.5599846579</v>
      </c>
      <c r="E21" s="211">
        <f t="shared" si="15"/>
        <v>11121143.669987112</v>
      </c>
      <c r="F21" s="225">
        <f t="shared" si="15"/>
        <v>20221051.830042962</v>
      </c>
      <c r="G21" s="224">
        <f t="shared" si="15"/>
        <v>81928.509924079292</v>
      </c>
      <c r="H21" s="211">
        <f t="shared" si="15"/>
        <v>8941660.6799343824</v>
      </c>
      <c r="I21" s="211">
        <f t="shared" si="15"/>
        <v>18138419.626287915</v>
      </c>
      <c r="J21" s="225">
        <f t="shared" si="15"/>
        <v>20577923.259924926</v>
      </c>
      <c r="K21" s="224">
        <f t="shared" si="15"/>
        <v>5857670.0076632928</v>
      </c>
      <c r="L21" s="211">
        <f t="shared" si="15"/>
        <v>8409376.1776452307</v>
      </c>
      <c r="M21" s="211">
        <f t="shared" si="15"/>
        <v>6438793</v>
      </c>
      <c r="N21" s="225">
        <f t="shared" si="15"/>
        <v>13011795.68765679</v>
      </c>
      <c r="O21" s="224">
        <f t="shared" si="15"/>
        <v>20262424.27999999</v>
      </c>
      <c r="P21" s="211">
        <f t="shared" si="15"/>
        <v>35953513.789999999</v>
      </c>
      <c r="Q21" s="211">
        <f t="shared" si="15"/>
        <v>54901899.309999995</v>
      </c>
      <c r="R21" s="225">
        <f t="shared" si="15"/>
        <v>75884592.340000004</v>
      </c>
      <c r="S21" s="224">
        <f t="shared" si="15"/>
        <v>13473032.079999998</v>
      </c>
      <c r="T21" s="211">
        <f t="shared" si="15"/>
        <v>52317428.480000004</v>
      </c>
      <c r="U21" s="211">
        <f t="shared" si="15"/>
        <v>68189820.810000002</v>
      </c>
      <c r="V21" s="225">
        <f t="shared" si="15"/>
        <v>74736534.310000002</v>
      </c>
      <c r="W21" s="224">
        <f t="shared" si="15"/>
        <v>15399496.5</v>
      </c>
      <c r="X21" s="211">
        <f t="shared" si="15"/>
        <v>31358177.620000005</v>
      </c>
      <c r="Y21" s="211">
        <f t="shared" si="15"/>
        <v>49070673.189999998</v>
      </c>
      <c r="AA21" s="215" t="s">
        <v>78</v>
      </c>
      <c r="AB21" s="259"/>
      <c r="AC21" s="259"/>
      <c r="AD21" s="259"/>
      <c r="AE21" s="259"/>
      <c r="AF21" s="259"/>
      <c r="AG21" s="259"/>
      <c r="AH21" s="259"/>
      <c r="AI21" s="259"/>
      <c r="AJ21" s="259"/>
      <c r="AK21" s="259"/>
      <c r="AL21" s="259"/>
      <c r="AM21" s="259"/>
      <c r="AN21" s="259"/>
    </row>
    <row r="22" spans="2:40" ht="15.75" customHeight="1" x14ac:dyDescent="0.35">
      <c r="B22" s="11" t="s">
        <v>78</v>
      </c>
      <c r="C22" s="234"/>
      <c r="D22" s="235"/>
      <c r="E22" s="235"/>
      <c r="F22" s="236"/>
      <c r="G22" s="234"/>
      <c r="H22" s="235"/>
      <c r="I22" s="235"/>
      <c r="J22" s="236"/>
      <c r="K22" s="234"/>
      <c r="L22" s="235"/>
      <c r="M22" s="235"/>
      <c r="N22" s="236"/>
      <c r="O22" s="234"/>
      <c r="P22" s="235"/>
      <c r="Q22" s="235"/>
      <c r="R22" s="237"/>
      <c r="S22" s="238"/>
      <c r="T22" s="235"/>
      <c r="U22" s="235"/>
      <c r="V22" s="237"/>
      <c r="W22" s="238"/>
      <c r="X22" s="239"/>
      <c r="Y22" s="239"/>
      <c r="AA22" s="43" t="s">
        <v>79</v>
      </c>
      <c r="AB22" s="260">
        <v>16490</v>
      </c>
      <c r="AC22" s="260">
        <v>341692.59</v>
      </c>
      <c r="AD22" s="260">
        <f>SUM(AD23:AD24)</f>
        <v>39306</v>
      </c>
      <c r="AE22" s="260">
        <f t="shared" ref="AE22:AH22" si="16">SUM(AE23:AE24)</f>
        <v>41413</v>
      </c>
      <c r="AF22" s="260">
        <f t="shared" si="16"/>
        <v>48013</v>
      </c>
      <c r="AG22" s="260">
        <f t="shared" si="16"/>
        <v>64047</v>
      </c>
      <c r="AH22" s="260">
        <f t="shared" si="16"/>
        <v>412214</v>
      </c>
      <c r="AI22" s="260">
        <f t="shared" ref="AI22:AJ22" si="17">SUM(AI23:AI24)</f>
        <v>431953.22</v>
      </c>
      <c r="AJ22" s="260">
        <f t="shared" si="17"/>
        <v>4137209</v>
      </c>
      <c r="AK22" s="260">
        <f t="shared" ref="AK22:AL22" si="18">SUM(AK23:AK24)</f>
        <v>4152008.97</v>
      </c>
      <c r="AL22" s="260">
        <f t="shared" si="18"/>
        <v>103004</v>
      </c>
      <c r="AM22" s="260">
        <f t="shared" ref="AM22:AN22" si="19">SUM(AM23:AM24)</f>
        <v>134688.63</v>
      </c>
      <c r="AN22" s="260">
        <f t="shared" si="19"/>
        <v>10553994.50000019</v>
      </c>
    </row>
    <row r="23" spans="2:40" ht="15.75" customHeight="1" x14ac:dyDescent="0.35">
      <c r="B23" s="43" t="s">
        <v>79</v>
      </c>
      <c r="C23" s="240">
        <f>SUM(C24:C28)</f>
        <v>37000</v>
      </c>
      <c r="D23" s="241">
        <f t="shared" ref="D23:Y23" si="20">SUM(D24:D28)</f>
        <v>0</v>
      </c>
      <c r="E23" s="241">
        <f t="shared" si="20"/>
        <v>27000</v>
      </c>
      <c r="F23" s="242">
        <f t="shared" si="20"/>
        <v>27000</v>
      </c>
      <c r="G23" s="240">
        <f t="shared" si="20"/>
        <v>0</v>
      </c>
      <c r="H23" s="241">
        <f t="shared" si="20"/>
        <v>0</v>
      </c>
      <c r="I23" s="241">
        <f t="shared" si="20"/>
        <v>165890</v>
      </c>
      <c r="J23" s="242">
        <f t="shared" si="20"/>
        <v>187890</v>
      </c>
      <c r="K23" s="240">
        <f t="shared" si="20"/>
        <v>325</v>
      </c>
      <c r="L23" s="241">
        <f t="shared" si="20"/>
        <v>520</v>
      </c>
      <c r="M23" s="241">
        <f t="shared" si="20"/>
        <v>55008</v>
      </c>
      <c r="N23" s="242">
        <f t="shared" si="20"/>
        <v>111316</v>
      </c>
      <c r="O23" s="240">
        <f t="shared" si="20"/>
        <v>180000</v>
      </c>
      <c r="P23" s="241">
        <f t="shared" si="20"/>
        <v>287751</v>
      </c>
      <c r="Q23" s="241">
        <f t="shared" si="20"/>
        <v>965059</v>
      </c>
      <c r="R23" s="242">
        <f t="shared" si="20"/>
        <v>1121059</v>
      </c>
      <c r="S23" s="240">
        <f t="shared" si="20"/>
        <v>1463</v>
      </c>
      <c r="T23" s="241">
        <f t="shared" si="20"/>
        <v>2063</v>
      </c>
      <c r="U23" s="241">
        <f t="shared" si="20"/>
        <v>2063</v>
      </c>
      <c r="V23" s="242">
        <f t="shared" si="20"/>
        <v>16489</v>
      </c>
      <c r="W23" s="240">
        <f t="shared" si="20"/>
        <v>9500</v>
      </c>
      <c r="X23" s="241">
        <f t="shared" si="20"/>
        <v>257196</v>
      </c>
      <c r="Y23" s="241">
        <f t="shared" si="20"/>
        <v>338193</v>
      </c>
      <c r="AA23" s="41" t="s">
        <v>192</v>
      </c>
      <c r="AB23" s="190">
        <v>16490</v>
      </c>
      <c r="AC23" s="190">
        <v>341692.59</v>
      </c>
      <c r="AD23" s="190">
        <v>39306</v>
      </c>
      <c r="AE23" s="213">
        <v>41413</v>
      </c>
      <c r="AF23" s="213">
        <v>48013</v>
      </c>
      <c r="AG23" s="213">
        <v>64047</v>
      </c>
      <c r="AH23" s="213">
        <v>29776</v>
      </c>
      <c r="AI23" s="213">
        <v>49515</v>
      </c>
      <c r="AJ23" s="213">
        <v>140461</v>
      </c>
      <c r="AK23" s="213">
        <v>155260.54</v>
      </c>
      <c r="AL23" s="213">
        <v>103004</v>
      </c>
      <c r="AM23" s="213">
        <v>134688.63</v>
      </c>
      <c r="AN23" s="213">
        <v>138488.63</v>
      </c>
    </row>
    <row r="24" spans="2:40" ht="15.75" customHeight="1" x14ac:dyDescent="0.35">
      <c r="B24" s="41" t="s">
        <v>80</v>
      </c>
      <c r="C24" s="227">
        <v>37000</v>
      </c>
      <c r="D24" s="213"/>
      <c r="E24" s="213">
        <v>27000</v>
      </c>
      <c r="F24" s="229">
        <v>27000</v>
      </c>
      <c r="G24" s="227"/>
      <c r="H24" s="213"/>
      <c r="I24" s="213">
        <v>15200</v>
      </c>
      <c r="J24" s="229">
        <v>37200</v>
      </c>
      <c r="K24" s="227">
        <v>325</v>
      </c>
      <c r="L24" s="213">
        <v>520</v>
      </c>
      <c r="M24" s="213">
        <v>520</v>
      </c>
      <c r="N24" s="229">
        <v>60520</v>
      </c>
      <c r="O24" s="227">
        <v>180000</v>
      </c>
      <c r="P24" s="213">
        <v>287751</v>
      </c>
      <c r="Q24" s="213">
        <v>287751</v>
      </c>
      <c r="R24" s="229">
        <v>443751</v>
      </c>
      <c r="S24" s="227">
        <v>1463</v>
      </c>
      <c r="T24" s="213">
        <v>2063</v>
      </c>
      <c r="U24" s="213">
        <v>2063</v>
      </c>
      <c r="V24" s="229">
        <v>16489</v>
      </c>
      <c r="W24" s="227">
        <v>9500</v>
      </c>
      <c r="X24" s="213">
        <v>257196</v>
      </c>
      <c r="Y24" s="213">
        <v>338193</v>
      </c>
      <c r="AA24" s="269" t="s">
        <v>83</v>
      </c>
      <c r="AB24" s="190"/>
      <c r="AC24" s="190"/>
      <c r="AD24" s="190"/>
      <c r="AE24" s="213"/>
      <c r="AF24" s="213"/>
      <c r="AG24" s="213"/>
      <c r="AH24" s="213">
        <v>382438</v>
      </c>
      <c r="AI24" s="213">
        <v>382438.22</v>
      </c>
      <c r="AJ24" s="213">
        <v>3996748</v>
      </c>
      <c r="AK24" s="213">
        <v>3996748.43</v>
      </c>
      <c r="AL24" s="213"/>
      <c r="AM24" s="213"/>
      <c r="AN24" s="213">
        <v>10415505.870000189</v>
      </c>
    </row>
    <row r="25" spans="2:40" ht="15.75" customHeight="1" x14ac:dyDescent="0.35">
      <c r="B25" s="41" t="s">
        <v>81</v>
      </c>
      <c r="C25" s="227"/>
      <c r="D25" s="213"/>
      <c r="E25" s="213"/>
      <c r="F25" s="229"/>
      <c r="G25" s="227"/>
      <c r="H25" s="213"/>
      <c r="I25" s="213"/>
      <c r="J25" s="229"/>
      <c r="K25" s="227"/>
      <c r="L25" s="213"/>
      <c r="M25" s="213"/>
      <c r="N25" s="229"/>
      <c r="O25" s="227"/>
      <c r="P25" s="243"/>
      <c r="Q25" s="213"/>
      <c r="R25" s="229"/>
      <c r="S25" s="227"/>
      <c r="T25" s="243"/>
      <c r="U25" s="213"/>
      <c r="V25" s="229"/>
      <c r="W25" s="227"/>
      <c r="X25" s="213"/>
      <c r="Y25" s="213"/>
      <c r="AA25" s="40" t="s">
        <v>85</v>
      </c>
      <c r="AB25" s="188">
        <f t="shared" ref="AB25:AI25" si="21">SUM(AB26:AB28)</f>
        <v>10912724</v>
      </c>
      <c r="AC25" s="188">
        <f t="shared" si="21"/>
        <v>38600686.030000001</v>
      </c>
      <c r="AD25" s="188">
        <f t="shared" si="21"/>
        <v>8458519.1199999992</v>
      </c>
      <c r="AE25" s="188">
        <f t="shared" si="21"/>
        <v>21791302</v>
      </c>
      <c r="AF25" s="188">
        <f t="shared" si="21"/>
        <v>35744945.909999996</v>
      </c>
      <c r="AG25" s="188">
        <f t="shared" si="21"/>
        <v>48747769</v>
      </c>
      <c r="AH25" s="188">
        <f t="shared" si="21"/>
        <v>12999605</v>
      </c>
      <c r="AI25" s="188">
        <f t="shared" si="21"/>
        <v>21543947.060000002</v>
      </c>
      <c r="AJ25" s="188">
        <f t="shared" ref="AJ25:AK25" si="22">SUM(AJ26:AJ28)</f>
        <v>26591513</v>
      </c>
      <c r="AK25" s="188">
        <f t="shared" si="22"/>
        <v>33674916.549999997</v>
      </c>
      <c r="AL25" s="188">
        <f t="shared" ref="AL25:AM25" si="23">SUM(AL26:AL28)</f>
        <v>23750419</v>
      </c>
      <c r="AM25" s="188">
        <f t="shared" si="23"/>
        <v>31015478.990000002</v>
      </c>
      <c r="AN25" s="188">
        <f t="shared" ref="AN25" si="24">SUM(AN26:AN28)</f>
        <v>39918672.059999995</v>
      </c>
    </row>
    <row r="26" spans="2:40" ht="15.75" customHeight="1" x14ac:dyDescent="0.35">
      <c r="B26" s="41" t="s">
        <v>82</v>
      </c>
      <c r="C26" s="227"/>
      <c r="D26" s="213"/>
      <c r="E26" s="213"/>
      <c r="F26" s="229"/>
      <c r="G26" s="227"/>
      <c r="H26" s="213"/>
      <c r="I26" s="213">
        <v>150690</v>
      </c>
      <c r="J26" s="229"/>
      <c r="K26" s="227"/>
      <c r="L26" s="213"/>
      <c r="M26" s="213"/>
      <c r="N26" s="229"/>
      <c r="O26" s="227"/>
      <c r="P26" s="243"/>
      <c r="Q26" s="213">
        <v>677308</v>
      </c>
      <c r="R26" s="229">
        <v>520568</v>
      </c>
      <c r="S26" s="227"/>
      <c r="T26" s="243"/>
      <c r="U26" s="213"/>
      <c r="V26" s="229"/>
      <c r="W26" s="227"/>
      <c r="X26" s="213"/>
      <c r="Y26" s="213"/>
      <c r="AA26" s="41" t="s">
        <v>193</v>
      </c>
      <c r="AB26" s="189">
        <v>10912724</v>
      </c>
      <c r="AC26" s="189">
        <v>38600686.030000001</v>
      </c>
      <c r="AD26" s="189">
        <v>8458519.1199999992</v>
      </c>
      <c r="AE26" s="189">
        <v>21744759</v>
      </c>
      <c r="AF26" s="189">
        <v>32845093.91</v>
      </c>
      <c r="AG26" s="189">
        <v>45853046</v>
      </c>
      <c r="AH26" s="189">
        <v>12074605</v>
      </c>
      <c r="AI26" s="189">
        <v>20618947.060000002</v>
      </c>
      <c r="AJ26" s="189">
        <v>25666513</v>
      </c>
      <c r="AK26" s="189">
        <v>32749916.549999997</v>
      </c>
      <c r="AL26" s="189">
        <v>23750419</v>
      </c>
      <c r="AM26" s="189">
        <v>31015478.990000002</v>
      </c>
      <c r="AN26" s="189">
        <v>39908672.059999995</v>
      </c>
    </row>
    <row r="27" spans="2:40" ht="15.75" customHeight="1" x14ac:dyDescent="0.35">
      <c r="B27" s="41" t="s">
        <v>83</v>
      </c>
      <c r="C27" s="230"/>
      <c r="D27" s="212"/>
      <c r="E27" s="212"/>
      <c r="F27" s="231"/>
      <c r="G27" s="230"/>
      <c r="H27" s="212"/>
      <c r="I27" s="212"/>
      <c r="J27" s="231">
        <v>150690</v>
      </c>
      <c r="K27" s="230"/>
      <c r="L27" s="212"/>
      <c r="M27" s="212">
        <v>54488</v>
      </c>
      <c r="N27" s="231">
        <v>50796</v>
      </c>
      <c r="O27" s="230"/>
      <c r="P27" s="244"/>
      <c r="Q27" s="212"/>
      <c r="R27" s="231">
        <v>156740</v>
      </c>
      <c r="S27" s="230"/>
      <c r="T27" s="244"/>
      <c r="U27" s="212"/>
      <c r="V27" s="231"/>
      <c r="W27" s="230"/>
      <c r="X27" s="212"/>
      <c r="Y27" s="212"/>
      <c r="AA27" s="41" t="s">
        <v>201</v>
      </c>
      <c r="AB27" s="189"/>
      <c r="AC27" s="189"/>
      <c r="AD27" s="189"/>
      <c r="AE27" s="189"/>
      <c r="AF27" s="189">
        <v>2528223</v>
      </c>
      <c r="AG27" s="189">
        <v>2528223</v>
      </c>
      <c r="AH27" s="189">
        <v>925000</v>
      </c>
      <c r="AI27" s="189">
        <v>925000</v>
      </c>
      <c r="AJ27" s="189">
        <v>925000</v>
      </c>
      <c r="AK27" s="189">
        <v>925000</v>
      </c>
      <c r="AL27" s="189"/>
      <c r="AM27" s="189"/>
      <c r="AN27" s="189">
        <v>10000</v>
      </c>
    </row>
    <row r="28" spans="2:40" ht="15.75" customHeight="1" x14ac:dyDescent="0.35">
      <c r="B28" s="41" t="s">
        <v>84</v>
      </c>
      <c r="C28" s="227"/>
      <c r="D28" s="213"/>
      <c r="E28" s="213"/>
      <c r="F28" s="229"/>
      <c r="G28" s="227"/>
      <c r="H28" s="213"/>
      <c r="I28" s="213"/>
      <c r="J28" s="229"/>
      <c r="K28" s="227"/>
      <c r="L28" s="213"/>
      <c r="M28" s="213"/>
      <c r="N28" s="229"/>
      <c r="O28" s="227"/>
      <c r="P28" s="243"/>
      <c r="Q28" s="213"/>
      <c r="R28" s="229"/>
      <c r="S28" s="227"/>
      <c r="T28" s="243"/>
      <c r="U28" s="213"/>
      <c r="V28" s="229"/>
      <c r="W28" s="227"/>
      <c r="X28" s="213"/>
      <c r="Y28" s="213"/>
      <c r="AA28" s="268" t="s">
        <v>89</v>
      </c>
      <c r="AB28" s="189"/>
      <c r="AC28" s="189"/>
      <c r="AD28" s="189"/>
      <c r="AE28" s="189">
        <v>46543</v>
      </c>
      <c r="AF28" s="212">
        <v>371629</v>
      </c>
      <c r="AG28" s="212">
        <v>366500</v>
      </c>
      <c r="AH28" s="212"/>
      <c r="AI28" s="212"/>
      <c r="AJ28" s="212"/>
      <c r="AK28" s="212"/>
      <c r="AL28" s="212"/>
      <c r="AM28" s="212"/>
      <c r="AN28" s="212"/>
    </row>
    <row r="29" spans="2:40" ht="15.75" customHeight="1" x14ac:dyDescent="0.35">
      <c r="B29" s="40" t="s">
        <v>85</v>
      </c>
      <c r="C29" s="224">
        <f>SUM(C30:C33)</f>
        <v>4013597.1499999985</v>
      </c>
      <c r="D29" s="211">
        <f t="shared" ref="D29:Y29" si="25">SUM(D30:D33)</f>
        <v>4397561.6400000006</v>
      </c>
      <c r="E29" s="211">
        <f t="shared" si="25"/>
        <v>8683966.6400000006</v>
      </c>
      <c r="F29" s="225">
        <f t="shared" si="25"/>
        <v>17116583.079999998</v>
      </c>
      <c r="G29" s="224">
        <f t="shared" si="25"/>
        <v>2644663.04</v>
      </c>
      <c r="H29" s="211">
        <f t="shared" si="25"/>
        <v>10241752</v>
      </c>
      <c r="I29" s="211">
        <f t="shared" si="25"/>
        <v>17719021.699999999</v>
      </c>
      <c r="J29" s="225">
        <f t="shared" si="25"/>
        <v>22372337</v>
      </c>
      <c r="K29" s="224">
        <f t="shared" si="25"/>
        <v>4534554</v>
      </c>
      <c r="L29" s="211">
        <f t="shared" si="25"/>
        <v>8252193</v>
      </c>
      <c r="M29" s="211">
        <f t="shared" si="25"/>
        <v>12745326</v>
      </c>
      <c r="N29" s="225">
        <f t="shared" si="25"/>
        <v>19581857</v>
      </c>
      <c r="O29" s="224">
        <f t="shared" si="25"/>
        <v>9282810</v>
      </c>
      <c r="P29" s="211">
        <f t="shared" si="25"/>
        <v>21251756</v>
      </c>
      <c r="Q29" s="211">
        <f t="shared" si="25"/>
        <v>24390199</v>
      </c>
      <c r="R29" s="225">
        <f t="shared" si="25"/>
        <v>29329740</v>
      </c>
      <c r="S29" s="224">
        <f t="shared" si="25"/>
        <v>3986884</v>
      </c>
      <c r="T29" s="211">
        <f t="shared" si="25"/>
        <v>4911515.18</v>
      </c>
      <c r="U29" s="211">
        <f t="shared" si="25"/>
        <v>7503048</v>
      </c>
      <c r="V29" s="225">
        <f t="shared" si="25"/>
        <v>10912724</v>
      </c>
      <c r="W29" s="224">
        <f t="shared" si="25"/>
        <v>4368940</v>
      </c>
      <c r="X29" s="211">
        <f t="shared" si="25"/>
        <v>11093508</v>
      </c>
      <c r="Y29" s="211">
        <f t="shared" si="25"/>
        <v>22875284</v>
      </c>
      <c r="AA29" s="42" t="s">
        <v>90</v>
      </c>
      <c r="AB29" s="188">
        <v>-10896234</v>
      </c>
      <c r="AC29" s="188">
        <v>-38258993.439999998</v>
      </c>
      <c r="AD29" s="188">
        <f t="shared" ref="AD29:AI29" si="26">AD22-AD25</f>
        <v>-8419213.1199999992</v>
      </c>
      <c r="AE29" s="188">
        <f t="shared" si="26"/>
        <v>-21749889</v>
      </c>
      <c r="AF29" s="188">
        <f t="shared" si="26"/>
        <v>-35696932.909999996</v>
      </c>
      <c r="AG29" s="188">
        <f t="shared" si="26"/>
        <v>-48683722</v>
      </c>
      <c r="AH29" s="188">
        <f t="shared" si="26"/>
        <v>-12587391</v>
      </c>
      <c r="AI29" s="188">
        <f t="shared" si="26"/>
        <v>-21111993.840000004</v>
      </c>
      <c r="AJ29" s="188">
        <f t="shared" ref="AJ29:AK29" si="27">AJ22-AJ25</f>
        <v>-22454304</v>
      </c>
      <c r="AK29" s="188">
        <f t="shared" si="27"/>
        <v>-29522907.579999998</v>
      </c>
      <c r="AL29" s="188">
        <f t="shared" ref="AL29:AM29" si="28">AL22-AL25</f>
        <v>-23647415</v>
      </c>
      <c r="AM29" s="188">
        <f t="shared" si="28"/>
        <v>-30880790.360000003</v>
      </c>
      <c r="AN29" s="188">
        <f t="shared" ref="AN29" si="29">AN22-AN25</f>
        <v>-29364677.559999805</v>
      </c>
    </row>
    <row r="30" spans="2:40" ht="15.75" customHeight="1" x14ac:dyDescent="0.35">
      <c r="B30" s="41" t="s">
        <v>86</v>
      </c>
      <c r="C30" s="230">
        <v>4013597.1499999985</v>
      </c>
      <c r="D30" s="212">
        <v>4397561.6400000006</v>
      </c>
      <c r="E30" s="212">
        <v>8683966.6400000006</v>
      </c>
      <c r="F30" s="231">
        <v>17116583.079999998</v>
      </c>
      <c r="G30" s="230">
        <v>2644663.04</v>
      </c>
      <c r="H30" s="212">
        <v>10091752</v>
      </c>
      <c r="I30" s="212">
        <v>17568821.699999999</v>
      </c>
      <c r="J30" s="231">
        <v>21842137</v>
      </c>
      <c r="K30" s="230">
        <v>4534554</v>
      </c>
      <c r="L30" s="212">
        <v>7953193</v>
      </c>
      <c r="M30" s="212">
        <v>12446326</v>
      </c>
      <c r="N30" s="231">
        <v>19282857</v>
      </c>
      <c r="O30" s="230">
        <v>9282810</v>
      </c>
      <c r="P30" s="212">
        <v>21251756</v>
      </c>
      <c r="Q30" s="212">
        <v>24390199</v>
      </c>
      <c r="R30" s="231">
        <v>29329740</v>
      </c>
      <c r="S30" s="230">
        <v>3986884</v>
      </c>
      <c r="T30" s="212">
        <v>4911515.18</v>
      </c>
      <c r="U30" s="212">
        <v>7503048</v>
      </c>
      <c r="V30" s="231">
        <v>10912724</v>
      </c>
      <c r="W30" s="230">
        <v>4368940</v>
      </c>
      <c r="X30" s="212">
        <v>11093508</v>
      </c>
      <c r="Y30" s="212">
        <v>22875284</v>
      </c>
      <c r="AA30" s="215" t="s">
        <v>91</v>
      </c>
      <c r="AB30" s="259"/>
      <c r="AC30" s="259"/>
      <c r="AD30" s="259"/>
      <c r="AE30" s="259"/>
      <c r="AF30" s="259"/>
      <c r="AG30" s="259"/>
      <c r="AH30" s="259"/>
      <c r="AI30" s="259"/>
      <c r="AJ30" s="259"/>
      <c r="AK30" s="259"/>
      <c r="AL30" s="259"/>
      <c r="AM30" s="259"/>
      <c r="AN30" s="259"/>
    </row>
    <row r="31" spans="2:40" ht="15.75" customHeight="1" x14ac:dyDescent="0.35">
      <c r="B31" s="41" t="s">
        <v>87</v>
      </c>
      <c r="C31" s="227"/>
      <c r="D31" s="213"/>
      <c r="E31" s="213"/>
      <c r="F31" s="229"/>
      <c r="G31" s="227"/>
      <c r="H31" s="213"/>
      <c r="I31" s="213"/>
      <c r="J31" s="229"/>
      <c r="K31" s="227"/>
      <c r="L31" s="213"/>
      <c r="M31" s="213"/>
      <c r="N31" s="229"/>
      <c r="O31" s="227"/>
      <c r="P31" s="213"/>
      <c r="Q31" s="213"/>
      <c r="R31" s="229"/>
      <c r="S31" s="227"/>
      <c r="T31" s="213"/>
      <c r="U31" s="213"/>
      <c r="V31" s="229"/>
      <c r="W31" s="227"/>
      <c r="X31" s="213"/>
      <c r="Y31" s="213"/>
      <c r="AA31" s="43" t="s">
        <v>79</v>
      </c>
      <c r="AB31" s="261">
        <v>5100000</v>
      </c>
      <c r="AC31" s="261">
        <v>78742759</v>
      </c>
      <c r="AD31" s="261">
        <f t="shared" ref="AD31:AJ31" si="30">SUM(AD32:AD33)</f>
        <v>0</v>
      </c>
      <c r="AE31" s="261">
        <f t="shared" si="30"/>
        <v>0</v>
      </c>
      <c r="AF31" s="261">
        <f t="shared" si="30"/>
        <v>0</v>
      </c>
      <c r="AG31" s="261">
        <f t="shared" si="30"/>
        <v>3949321</v>
      </c>
      <c r="AH31" s="261">
        <f t="shared" si="30"/>
        <v>5538628</v>
      </c>
      <c r="AI31" s="261">
        <f t="shared" si="30"/>
        <v>9960884.7599999998</v>
      </c>
      <c r="AJ31" s="261">
        <f t="shared" si="30"/>
        <v>10687502</v>
      </c>
      <c r="AK31" s="261">
        <f t="shared" ref="AK31:AL31" si="31">SUM(AK32:AK33)</f>
        <v>20000000</v>
      </c>
      <c r="AL31" s="261">
        <f t="shared" si="31"/>
        <v>4605593</v>
      </c>
      <c r="AM31" s="261">
        <f t="shared" ref="AM31:AN31" si="32">SUM(AM32:AM33)</f>
        <v>11020120.16</v>
      </c>
      <c r="AN31" s="261">
        <f t="shared" si="32"/>
        <v>11020120.16</v>
      </c>
    </row>
    <row r="32" spans="2:40" ht="15.75" customHeight="1" x14ac:dyDescent="0.35">
      <c r="B32" s="41" t="s">
        <v>88</v>
      </c>
      <c r="C32" s="230"/>
      <c r="D32" s="212"/>
      <c r="E32" s="212"/>
      <c r="F32" s="231"/>
      <c r="G32" s="230"/>
      <c r="H32" s="212">
        <v>150000</v>
      </c>
      <c r="I32" s="212">
        <v>150200</v>
      </c>
      <c r="J32" s="231">
        <v>530200</v>
      </c>
      <c r="K32" s="230"/>
      <c r="L32" s="212">
        <v>299000</v>
      </c>
      <c r="M32" s="212">
        <v>249000</v>
      </c>
      <c r="N32" s="231">
        <v>249000</v>
      </c>
      <c r="O32" s="230"/>
      <c r="P32" s="212"/>
      <c r="Q32" s="212"/>
      <c r="R32" s="231"/>
      <c r="S32" s="230"/>
      <c r="T32" s="212"/>
      <c r="U32" s="212"/>
      <c r="V32" s="231"/>
      <c r="W32" s="230"/>
      <c r="X32" s="212"/>
      <c r="Y32" s="212"/>
      <c r="AA32" s="41" t="s">
        <v>92</v>
      </c>
      <c r="AB32" s="262"/>
      <c r="AC32" s="262">
        <v>78742759</v>
      </c>
      <c r="AD32" s="262"/>
      <c r="AE32" s="262"/>
      <c r="AF32" s="262"/>
      <c r="AG32" s="262"/>
      <c r="AH32" s="262"/>
      <c r="AI32" s="262"/>
      <c r="AJ32" s="262"/>
      <c r="AK32" s="262"/>
      <c r="AL32" s="262"/>
      <c r="AM32" s="262"/>
      <c r="AN32" s="262"/>
    </row>
    <row r="33" spans="2:40" ht="15.75" customHeight="1" x14ac:dyDescent="0.35">
      <c r="B33" s="41" t="s">
        <v>89</v>
      </c>
      <c r="C33" s="230"/>
      <c r="D33" s="212"/>
      <c r="E33" s="212"/>
      <c r="F33" s="231"/>
      <c r="G33" s="230"/>
      <c r="H33" s="212"/>
      <c r="I33" s="212"/>
      <c r="J33" s="231"/>
      <c r="K33" s="230"/>
      <c r="L33" s="212"/>
      <c r="M33" s="212">
        <v>50000</v>
      </c>
      <c r="N33" s="231">
        <v>50000</v>
      </c>
      <c r="O33" s="230"/>
      <c r="P33" s="212"/>
      <c r="Q33" s="212"/>
      <c r="R33" s="231"/>
      <c r="S33" s="230"/>
      <c r="T33" s="212"/>
      <c r="U33" s="212"/>
      <c r="V33" s="231"/>
      <c r="W33" s="230"/>
      <c r="X33" s="212"/>
      <c r="Y33" s="212"/>
      <c r="AA33" s="41" t="s">
        <v>48</v>
      </c>
      <c r="AB33" s="262">
        <v>5100000</v>
      </c>
      <c r="AC33" s="262"/>
      <c r="AD33" s="262"/>
      <c r="AE33" s="262"/>
      <c r="AF33" s="262"/>
      <c r="AG33" s="262">
        <v>3949321</v>
      </c>
      <c r="AH33" s="262">
        <v>5538628</v>
      </c>
      <c r="AI33" s="262">
        <v>9960884.7599999998</v>
      </c>
      <c r="AJ33" s="262">
        <v>10687502</v>
      </c>
      <c r="AK33" s="262">
        <v>20000000</v>
      </c>
      <c r="AL33" s="262">
        <v>4605593</v>
      </c>
      <c r="AM33" s="262">
        <v>11020120.16</v>
      </c>
      <c r="AN33" s="262">
        <v>11020120.16</v>
      </c>
    </row>
    <row r="34" spans="2:40" ht="15.75" customHeight="1" x14ac:dyDescent="0.35">
      <c r="B34" s="42" t="s">
        <v>90</v>
      </c>
      <c r="C34" s="224">
        <f>C23-C29</f>
        <v>-3976597.1499999985</v>
      </c>
      <c r="D34" s="211">
        <f t="shared" ref="D34:Y34" si="33">D23-D29</f>
        <v>-4397561.6400000006</v>
      </c>
      <c r="E34" s="211">
        <f t="shared" si="33"/>
        <v>-8656966.6400000006</v>
      </c>
      <c r="F34" s="225">
        <f t="shared" si="33"/>
        <v>-17089583.079999998</v>
      </c>
      <c r="G34" s="224">
        <f t="shared" si="33"/>
        <v>-2644663.04</v>
      </c>
      <c r="H34" s="211">
        <f t="shared" si="33"/>
        <v>-10241752</v>
      </c>
      <c r="I34" s="211">
        <f t="shared" si="33"/>
        <v>-17553131.699999999</v>
      </c>
      <c r="J34" s="225">
        <f t="shared" si="33"/>
        <v>-22184447</v>
      </c>
      <c r="K34" s="224">
        <f t="shared" si="33"/>
        <v>-4534229</v>
      </c>
      <c r="L34" s="211">
        <f t="shared" si="33"/>
        <v>-8251673</v>
      </c>
      <c r="M34" s="211">
        <f t="shared" si="33"/>
        <v>-12690318</v>
      </c>
      <c r="N34" s="225">
        <f t="shared" si="33"/>
        <v>-19470541</v>
      </c>
      <c r="O34" s="224">
        <f t="shared" si="33"/>
        <v>-9102810</v>
      </c>
      <c r="P34" s="211">
        <f t="shared" si="33"/>
        <v>-20964005</v>
      </c>
      <c r="Q34" s="211">
        <f t="shared" si="33"/>
        <v>-23425140</v>
      </c>
      <c r="R34" s="225">
        <f t="shared" si="33"/>
        <v>-28208681</v>
      </c>
      <c r="S34" s="224">
        <f t="shared" si="33"/>
        <v>-3985421</v>
      </c>
      <c r="T34" s="211">
        <f t="shared" si="33"/>
        <v>-4909452.18</v>
      </c>
      <c r="U34" s="211">
        <f t="shared" si="33"/>
        <v>-7500985</v>
      </c>
      <c r="V34" s="225">
        <f t="shared" si="33"/>
        <v>-10896235</v>
      </c>
      <c r="W34" s="224">
        <f t="shared" si="33"/>
        <v>-4359440</v>
      </c>
      <c r="X34" s="211">
        <f t="shared" si="33"/>
        <v>-10836312</v>
      </c>
      <c r="Y34" s="211">
        <f t="shared" si="33"/>
        <v>-22537091</v>
      </c>
      <c r="AA34" s="40" t="s">
        <v>85</v>
      </c>
      <c r="AB34" s="263">
        <v>62354471.680000007</v>
      </c>
      <c r="AC34" s="263">
        <v>54507228.719999991</v>
      </c>
      <c r="AD34" s="263">
        <f t="shared" ref="AD34:AJ34" si="34">SUM(AD35:AD37)</f>
        <v>13380353.039999999</v>
      </c>
      <c r="AE34" s="263">
        <f t="shared" si="34"/>
        <v>26043535</v>
      </c>
      <c r="AF34" s="263">
        <f t="shared" si="34"/>
        <v>38099061.350000001</v>
      </c>
      <c r="AG34" s="263">
        <f t="shared" si="34"/>
        <v>50566256.530000001</v>
      </c>
      <c r="AH34" s="263">
        <f t="shared" si="34"/>
        <v>14071137</v>
      </c>
      <c r="AI34" s="263">
        <f t="shared" si="34"/>
        <v>28073496.190000001</v>
      </c>
      <c r="AJ34" s="263">
        <f t="shared" si="34"/>
        <v>44926957</v>
      </c>
      <c r="AK34" s="263">
        <f t="shared" ref="AK34:AL34" si="35">SUM(AK35:AK37)</f>
        <v>59472577.515342467</v>
      </c>
      <c r="AL34" s="263">
        <f t="shared" si="35"/>
        <v>14000379.539999997</v>
      </c>
      <c r="AM34" s="263">
        <f t="shared" ref="AM34:AN34" si="36">SUM(AM35:AM37)</f>
        <v>28861727.409999996</v>
      </c>
      <c r="AN34" s="263">
        <f t="shared" si="36"/>
        <v>57121968.199999996</v>
      </c>
    </row>
    <row r="35" spans="2:40" ht="15.75" customHeight="1" x14ac:dyDescent="0.35">
      <c r="B35" s="11" t="s">
        <v>91</v>
      </c>
      <c r="C35" s="234"/>
      <c r="D35" s="235"/>
      <c r="E35" s="235"/>
      <c r="F35" s="236"/>
      <c r="G35" s="234"/>
      <c r="H35" s="235"/>
      <c r="I35" s="235"/>
      <c r="J35" s="236"/>
      <c r="K35" s="234"/>
      <c r="L35" s="235"/>
      <c r="M35" s="235"/>
      <c r="N35" s="236"/>
      <c r="O35" s="234"/>
      <c r="P35" s="235"/>
      <c r="Q35" s="235"/>
      <c r="R35" s="237"/>
      <c r="S35" s="238"/>
      <c r="T35" s="235"/>
      <c r="U35" s="235"/>
      <c r="V35" s="237"/>
      <c r="W35" s="238"/>
      <c r="X35" s="239"/>
      <c r="Y35" s="239"/>
      <c r="AA35" s="41" t="s">
        <v>98</v>
      </c>
      <c r="AB35" s="262">
        <v>20477500.740000002</v>
      </c>
      <c r="AC35" s="262">
        <v>12863578.84</v>
      </c>
      <c r="AD35" s="262">
        <v>2491660.11</v>
      </c>
      <c r="AE35" s="262">
        <v>4750251</v>
      </c>
      <c r="AF35" s="262">
        <v>6070104.0300000003</v>
      </c>
      <c r="AG35" s="262">
        <v>7178681</v>
      </c>
      <c r="AH35" s="262">
        <v>1114286</v>
      </c>
      <c r="AI35" s="262">
        <v>2235673.06</v>
      </c>
      <c r="AJ35" s="262">
        <v>6265701</v>
      </c>
      <c r="AK35" s="262">
        <v>6981617</v>
      </c>
      <c r="AL35" s="262">
        <v>327993</v>
      </c>
      <c r="AM35" s="262">
        <v>1499651.33</v>
      </c>
      <c r="AN35" s="262">
        <v>17278445.330000002</v>
      </c>
    </row>
    <row r="36" spans="2:40" ht="15.75" customHeight="1" x14ac:dyDescent="0.35">
      <c r="B36" s="43" t="s">
        <v>79</v>
      </c>
      <c r="C36" s="240">
        <f t="shared" ref="C36:J36" si="37">SUM(C37:C40)</f>
        <v>2500000</v>
      </c>
      <c r="D36" s="241">
        <f t="shared" si="37"/>
        <v>5316993.32</v>
      </c>
      <c r="E36" s="241">
        <f t="shared" si="37"/>
        <v>7041248.3200000003</v>
      </c>
      <c r="F36" s="242">
        <f t="shared" si="37"/>
        <v>6366428.3200000003</v>
      </c>
      <c r="G36" s="240">
        <f t="shared" si="37"/>
        <v>2529084.79</v>
      </c>
      <c r="H36" s="241">
        <f t="shared" si="37"/>
        <v>6944492.9000000004</v>
      </c>
      <c r="I36" s="241">
        <f t="shared" si="37"/>
        <v>17026013</v>
      </c>
      <c r="J36" s="242">
        <f t="shared" si="37"/>
        <v>17122502.34</v>
      </c>
      <c r="K36" s="240">
        <f>SUM(K37:K40)</f>
        <v>2712494</v>
      </c>
      <c r="L36" s="241">
        <f t="shared" ref="L36:Y36" si="38">SUM(L37:L40)</f>
        <v>7368842</v>
      </c>
      <c r="M36" s="241">
        <f t="shared" si="38"/>
        <v>16913208</v>
      </c>
      <c r="N36" s="242">
        <f t="shared" si="38"/>
        <v>20657428</v>
      </c>
      <c r="O36" s="240">
        <f t="shared" si="38"/>
        <v>1478697</v>
      </c>
      <c r="P36" s="241">
        <f t="shared" si="38"/>
        <v>12122699</v>
      </c>
      <c r="Q36" s="241">
        <f t="shared" si="38"/>
        <v>8795003</v>
      </c>
      <c r="R36" s="242">
        <f t="shared" si="38"/>
        <v>9188765</v>
      </c>
      <c r="S36" s="240">
        <f t="shared" si="38"/>
        <v>3102042</v>
      </c>
      <c r="T36" s="241">
        <f t="shared" si="38"/>
        <v>0</v>
      </c>
      <c r="U36" s="241">
        <f t="shared" si="38"/>
        <v>5100000</v>
      </c>
      <c r="V36" s="242">
        <f t="shared" si="38"/>
        <v>5100000</v>
      </c>
      <c r="W36" s="240">
        <f t="shared" si="38"/>
        <v>2607585</v>
      </c>
      <c r="X36" s="241">
        <f t="shared" si="38"/>
        <v>1613079</v>
      </c>
      <c r="Y36" s="241">
        <f t="shared" si="38"/>
        <v>6583678</v>
      </c>
      <c r="AA36" s="41" t="s">
        <v>194</v>
      </c>
      <c r="AB36" s="262">
        <v>34722736</v>
      </c>
      <c r="AC36" s="262">
        <v>35342902.809999995</v>
      </c>
      <c r="AD36" s="262">
        <v>9246662.2599999998</v>
      </c>
      <c r="AE36" s="262">
        <v>17930479</v>
      </c>
      <c r="AF36" s="262">
        <v>26874190.210000001</v>
      </c>
      <c r="AG36" s="262">
        <v>36489127.119999997</v>
      </c>
      <c r="AH36" s="262">
        <v>10792040</v>
      </c>
      <c r="AI36" s="262">
        <v>21488490.770000003</v>
      </c>
      <c r="AJ36" s="262">
        <v>32187308</v>
      </c>
      <c r="AK36" s="262">
        <v>43917892.880000003</v>
      </c>
      <c r="AL36" s="262">
        <v>11625971.5</v>
      </c>
      <c r="AM36" s="262">
        <v>22919851.809999999</v>
      </c>
      <c r="AN36" s="262">
        <v>32850070.34</v>
      </c>
    </row>
    <row r="37" spans="2:40" ht="27" customHeight="1" x14ac:dyDescent="0.35">
      <c r="B37" s="41" t="s">
        <v>92</v>
      </c>
      <c r="C37" s="245"/>
      <c r="D37" s="246"/>
      <c r="E37" s="246"/>
      <c r="F37" s="247"/>
      <c r="G37" s="245"/>
      <c r="H37" s="246"/>
      <c r="I37" s="246"/>
      <c r="J37" s="247"/>
      <c r="K37" s="245"/>
      <c r="L37" s="246"/>
      <c r="M37" s="246"/>
      <c r="N37" s="247"/>
      <c r="O37" s="245"/>
      <c r="P37" s="246"/>
      <c r="Q37" s="246"/>
      <c r="R37" s="247"/>
      <c r="S37" s="245"/>
      <c r="T37" s="246"/>
      <c r="U37" s="246"/>
      <c r="V37" s="247"/>
      <c r="W37" s="245"/>
      <c r="X37" s="246"/>
      <c r="Y37" s="246"/>
      <c r="AA37" s="41" t="s">
        <v>102</v>
      </c>
      <c r="AB37" s="264">
        <v>7154234.9400000013</v>
      </c>
      <c r="AC37" s="264">
        <v>6300747.0700000012</v>
      </c>
      <c r="AD37" s="264">
        <v>1642030.67</v>
      </c>
      <c r="AE37" s="264">
        <v>3362805</v>
      </c>
      <c r="AF37" s="264">
        <v>5154767.1099999994</v>
      </c>
      <c r="AG37" s="264">
        <v>6898448.410000002</v>
      </c>
      <c r="AH37" s="264">
        <v>2164811</v>
      </c>
      <c r="AI37" s="264">
        <v>4349332.3599999994</v>
      </c>
      <c r="AJ37" s="264">
        <v>6473948</v>
      </c>
      <c r="AK37" s="264">
        <v>8573067.6353424639</v>
      </c>
      <c r="AL37" s="264">
        <v>2046415.0399999972</v>
      </c>
      <c r="AM37" s="262">
        <v>4442224.2699999949</v>
      </c>
      <c r="AN37" s="262">
        <v>6993452.5299999937</v>
      </c>
    </row>
    <row r="38" spans="2:40" ht="15.75" customHeight="1" x14ac:dyDescent="0.35">
      <c r="B38" s="41" t="s">
        <v>48</v>
      </c>
      <c r="C38" s="245">
        <v>2500000</v>
      </c>
      <c r="D38" s="246">
        <v>5316993.32</v>
      </c>
      <c r="E38" s="246">
        <v>7041248.3200000003</v>
      </c>
      <c r="F38" s="247">
        <v>6366428.3200000003</v>
      </c>
      <c r="G38" s="245">
        <v>2529084.79</v>
      </c>
      <c r="H38" s="246">
        <v>6944492.9000000004</v>
      </c>
      <c r="I38" s="246">
        <v>17026013</v>
      </c>
      <c r="J38" s="247">
        <v>17122502.34</v>
      </c>
      <c r="K38" s="245">
        <v>2712494</v>
      </c>
      <c r="L38" s="246">
        <v>7368842</v>
      </c>
      <c r="M38" s="246">
        <v>16913208</v>
      </c>
      <c r="N38" s="247">
        <v>20657428</v>
      </c>
      <c r="O38" s="245">
        <v>1478697</v>
      </c>
      <c r="P38" s="246">
        <v>12122699</v>
      </c>
      <c r="Q38" s="246">
        <v>8795003</v>
      </c>
      <c r="R38" s="247">
        <v>9188765</v>
      </c>
      <c r="S38" s="245">
        <v>3102042</v>
      </c>
      <c r="T38" s="246"/>
      <c r="U38" s="246">
        <v>5100000</v>
      </c>
      <c r="V38" s="247">
        <v>5100000</v>
      </c>
      <c r="W38" s="245">
        <v>2607585</v>
      </c>
      <c r="X38" s="246">
        <v>1613079</v>
      </c>
      <c r="Y38" s="246">
        <v>6583678</v>
      </c>
      <c r="AA38" s="42" t="s">
        <v>104</v>
      </c>
      <c r="AB38" s="188">
        <v>-57254471.680000007</v>
      </c>
      <c r="AC38" s="188">
        <v>24235530.280000009</v>
      </c>
      <c r="AD38" s="188">
        <f t="shared" ref="AD38:AI38" si="39">AD31-AD34</f>
        <v>-13380353.039999999</v>
      </c>
      <c r="AE38" s="188">
        <f t="shared" si="39"/>
        <v>-26043535</v>
      </c>
      <c r="AF38" s="188">
        <f t="shared" si="39"/>
        <v>-38099061.350000001</v>
      </c>
      <c r="AG38" s="188">
        <f t="shared" si="39"/>
        <v>-46616935.530000001</v>
      </c>
      <c r="AH38" s="188">
        <f t="shared" si="39"/>
        <v>-8532509</v>
      </c>
      <c r="AI38" s="188">
        <f t="shared" si="39"/>
        <v>-18112611.43</v>
      </c>
      <c r="AJ38" s="188">
        <f t="shared" ref="AJ38:AK38" si="40">AJ31-AJ34</f>
        <v>-34239455</v>
      </c>
      <c r="AK38" s="188">
        <f t="shared" si="40"/>
        <v>-39472577.515342467</v>
      </c>
      <c r="AL38" s="188">
        <f t="shared" ref="AL38:AM38" si="41">AL31-AL34</f>
        <v>-9394786.5399999972</v>
      </c>
      <c r="AM38" s="188">
        <f t="shared" si="41"/>
        <v>-17841607.249999996</v>
      </c>
      <c r="AN38" s="188">
        <f t="shared" ref="AN38" si="42">AN31-AN34</f>
        <v>-46101848.039999992</v>
      </c>
    </row>
    <row r="39" spans="2:40" ht="15.75" customHeight="1" x14ac:dyDescent="0.35">
      <c r="B39" s="41" t="s">
        <v>93</v>
      </c>
      <c r="C39" s="245"/>
      <c r="D39" s="246"/>
      <c r="E39" s="246"/>
      <c r="F39" s="247"/>
      <c r="G39" s="245"/>
      <c r="H39" s="246"/>
      <c r="I39" s="246"/>
      <c r="J39" s="247"/>
      <c r="K39" s="245"/>
      <c r="L39" s="246"/>
      <c r="M39" s="246"/>
      <c r="N39" s="247"/>
      <c r="O39" s="245"/>
      <c r="P39" s="246"/>
      <c r="Q39" s="246"/>
      <c r="R39" s="247"/>
      <c r="S39" s="245"/>
      <c r="T39" s="246"/>
      <c r="U39" s="246"/>
      <c r="V39" s="247"/>
      <c r="W39" s="245"/>
      <c r="X39" s="246"/>
      <c r="Y39" s="246"/>
      <c r="AA39" s="44" t="s">
        <v>105</v>
      </c>
      <c r="AB39" s="260">
        <v>6585828.6299999952</v>
      </c>
      <c r="AC39" s="260">
        <v>54219344.19000002</v>
      </c>
      <c r="AD39" s="260">
        <f t="shared" ref="AD39:AJ39" si="43">AD20+AD29+AD38</f>
        <v>-13800045.23</v>
      </c>
      <c r="AE39" s="260">
        <f t="shared" si="43"/>
        <v>-35575725.329999998</v>
      </c>
      <c r="AF39" s="260">
        <f t="shared" si="43"/>
        <v>-45913782.669999994</v>
      </c>
      <c r="AG39" s="260">
        <f t="shared" si="43"/>
        <v>-55176834.680000007</v>
      </c>
      <c r="AH39" s="260">
        <f t="shared" si="43"/>
        <v>-52681.780000001192</v>
      </c>
      <c r="AI39" s="260">
        <f t="shared" si="43"/>
        <v>2897165.3800000176</v>
      </c>
      <c r="AJ39" s="260">
        <f t="shared" si="43"/>
        <v>404583.23999999464</v>
      </c>
      <c r="AK39" s="260">
        <f t="shared" ref="AK39:AL39" si="44">AK20+AK29+AK38</f>
        <v>18923927.272951551</v>
      </c>
      <c r="AL39" s="260">
        <f t="shared" si="44"/>
        <v>-362138.99830023013</v>
      </c>
      <c r="AM39" s="260">
        <f t="shared" ref="AM39:AN39" si="45">AM20+AM29+AM38</f>
        <v>-5597546.7883036286</v>
      </c>
      <c r="AN39" s="260">
        <f t="shared" si="45"/>
        <v>-2210422.3882177621</v>
      </c>
    </row>
    <row r="40" spans="2:40" ht="15.75" customHeight="1" x14ac:dyDescent="0.35">
      <c r="B40" s="41" t="s">
        <v>94</v>
      </c>
      <c r="C40" s="245"/>
      <c r="D40" s="246"/>
      <c r="E40" s="246"/>
      <c r="F40" s="247"/>
      <c r="G40" s="245"/>
      <c r="H40" s="246"/>
      <c r="I40" s="246"/>
      <c r="J40" s="247"/>
      <c r="K40" s="245"/>
      <c r="L40" s="246"/>
      <c r="M40" s="246"/>
      <c r="N40" s="247"/>
      <c r="O40" s="245"/>
      <c r="P40" s="246"/>
      <c r="Q40" s="246"/>
      <c r="R40" s="247"/>
      <c r="S40" s="245"/>
      <c r="T40" s="246"/>
      <c r="U40" s="246"/>
      <c r="V40" s="247"/>
      <c r="W40" s="245"/>
      <c r="X40" s="246"/>
      <c r="Y40" s="246"/>
      <c r="AA40" s="44" t="s">
        <v>106</v>
      </c>
      <c r="AB40" s="195">
        <f t="shared" ref="AB40:AG40" si="46">AB39</f>
        <v>6585828.6299999952</v>
      </c>
      <c r="AC40" s="195">
        <f t="shared" si="46"/>
        <v>54219344.19000002</v>
      </c>
      <c r="AD40" s="195">
        <f t="shared" si="46"/>
        <v>-13800045.23</v>
      </c>
      <c r="AE40" s="195">
        <f t="shared" si="46"/>
        <v>-35575725.329999998</v>
      </c>
      <c r="AF40" s="195">
        <f t="shared" si="46"/>
        <v>-45913782.669999994</v>
      </c>
      <c r="AG40" s="195">
        <f t="shared" si="46"/>
        <v>-55176834.680000007</v>
      </c>
      <c r="AH40" s="195">
        <f t="shared" ref="AH40:AM40" si="47">AH39</f>
        <v>-52681.780000001192</v>
      </c>
      <c r="AI40" s="195">
        <f t="shared" si="47"/>
        <v>2897165.3800000176</v>
      </c>
      <c r="AJ40" s="195">
        <f t="shared" si="47"/>
        <v>404583.23999999464</v>
      </c>
      <c r="AK40" s="195">
        <f t="shared" si="47"/>
        <v>18923927.272951551</v>
      </c>
      <c r="AL40" s="195">
        <f t="shared" si="47"/>
        <v>-362138.99830023013</v>
      </c>
      <c r="AM40" s="195">
        <f t="shared" si="47"/>
        <v>-5597546.7883036286</v>
      </c>
      <c r="AN40" s="195">
        <f t="shared" ref="AN40" si="48">AN39</f>
        <v>-2210422.3882177621</v>
      </c>
    </row>
    <row r="41" spans="2:40" ht="15.75" customHeight="1" x14ac:dyDescent="0.35">
      <c r="B41" s="40" t="s">
        <v>85</v>
      </c>
      <c r="C41" s="248">
        <f t="shared" ref="C41:J41" si="49">SUM(C42:C50)</f>
        <v>2613081.8900000006</v>
      </c>
      <c r="D41" s="249">
        <f t="shared" si="49"/>
        <v>10802773.959999999</v>
      </c>
      <c r="E41" s="249">
        <f t="shared" si="49"/>
        <v>14475696.340000002</v>
      </c>
      <c r="F41" s="250">
        <f t="shared" si="49"/>
        <v>15983884.690000001</v>
      </c>
      <c r="G41" s="248">
        <f t="shared" si="49"/>
        <v>2456984.6752054794</v>
      </c>
      <c r="H41" s="249">
        <f t="shared" si="49"/>
        <v>5108963.9752054792</v>
      </c>
      <c r="I41" s="249">
        <f t="shared" si="49"/>
        <v>16886222.59</v>
      </c>
      <c r="J41" s="250">
        <f t="shared" si="49"/>
        <v>14080580.609999999</v>
      </c>
      <c r="K41" s="248">
        <f>SUM(K42:K50)</f>
        <v>3835442.5</v>
      </c>
      <c r="L41" s="249">
        <f t="shared" ref="L41:Y41" si="50">SUM(L42:L50)</f>
        <v>7108433.0300000003</v>
      </c>
      <c r="M41" s="249">
        <f t="shared" si="50"/>
        <v>9350105.0199999996</v>
      </c>
      <c r="N41" s="250">
        <f t="shared" si="50"/>
        <v>13437270.16</v>
      </c>
      <c r="O41" s="248">
        <f t="shared" si="50"/>
        <v>12449771.809999997</v>
      </c>
      <c r="P41" s="249">
        <f t="shared" si="50"/>
        <v>26572066.169999994</v>
      </c>
      <c r="Q41" s="249">
        <f t="shared" si="50"/>
        <v>39913327.840000004</v>
      </c>
      <c r="R41" s="250">
        <f t="shared" si="50"/>
        <v>56835163.369999997</v>
      </c>
      <c r="S41" s="248">
        <f t="shared" si="50"/>
        <v>13262572.689999999</v>
      </c>
      <c r="T41" s="249">
        <f t="shared" si="50"/>
        <v>34190697.790000007</v>
      </c>
      <c r="U41" s="249">
        <f t="shared" si="50"/>
        <v>45858909.010000005</v>
      </c>
      <c r="V41" s="250">
        <f t="shared" si="50"/>
        <v>62354471.680000007</v>
      </c>
      <c r="W41" s="248">
        <f t="shared" si="50"/>
        <v>13243988.120000003</v>
      </c>
      <c r="X41" s="249">
        <f t="shared" si="50"/>
        <v>26559330.219999999</v>
      </c>
      <c r="Y41" s="249">
        <f t="shared" si="50"/>
        <v>39401466.390000001</v>
      </c>
      <c r="AA41" s="45" t="s">
        <v>107</v>
      </c>
      <c r="AB41" s="190"/>
      <c r="AC41" s="190"/>
      <c r="AD41" s="190"/>
      <c r="AE41" s="190"/>
      <c r="AF41" s="190"/>
      <c r="AG41" s="190"/>
      <c r="AH41" s="190"/>
      <c r="AI41" s="190"/>
      <c r="AJ41" s="190"/>
      <c r="AK41" s="190"/>
      <c r="AL41" s="190"/>
      <c r="AM41" s="190"/>
      <c r="AN41" s="190"/>
    </row>
    <row r="42" spans="2:40" ht="15.75" customHeight="1" x14ac:dyDescent="0.35">
      <c r="B42" s="41" t="s">
        <v>95</v>
      </c>
      <c r="C42" s="245"/>
      <c r="D42" s="246"/>
      <c r="E42" s="246"/>
      <c r="F42" s="247"/>
      <c r="G42" s="245"/>
      <c r="H42" s="246"/>
      <c r="I42" s="246"/>
      <c r="J42" s="247"/>
      <c r="K42" s="245"/>
      <c r="L42" s="246"/>
      <c r="M42" s="246"/>
      <c r="N42" s="247"/>
      <c r="O42" s="245"/>
      <c r="P42" s="246"/>
      <c r="Q42" s="246"/>
      <c r="R42" s="247"/>
      <c r="S42" s="245"/>
      <c r="T42" s="246"/>
      <c r="U42" s="246"/>
      <c r="V42" s="247"/>
      <c r="W42" s="245"/>
      <c r="X42" s="246"/>
      <c r="Y42" s="246"/>
      <c r="AA42" s="44" t="s">
        <v>108</v>
      </c>
      <c r="AB42" s="195">
        <v>1566183</v>
      </c>
      <c r="AC42" s="195">
        <v>8152012</v>
      </c>
      <c r="AD42" s="195">
        <v>62371356</v>
      </c>
      <c r="AE42" s="195">
        <v>62371356</v>
      </c>
      <c r="AF42" s="195">
        <v>62371356</v>
      </c>
      <c r="AG42" s="195">
        <v>62371356</v>
      </c>
      <c r="AH42" s="195">
        <v>7194521</v>
      </c>
      <c r="AI42" s="195">
        <v>7194521</v>
      </c>
      <c r="AJ42" s="195">
        <v>7194521</v>
      </c>
      <c r="AK42" s="195">
        <f>AG43</f>
        <v>7194521.3199999928</v>
      </c>
      <c r="AL42" s="195">
        <f>AK43</f>
        <v>26118448.592951544</v>
      </c>
      <c r="AM42" s="195">
        <f>AK43</f>
        <v>26118448.592951544</v>
      </c>
      <c r="AN42" s="195">
        <f>AK43</f>
        <v>26118448.592951544</v>
      </c>
    </row>
    <row r="43" spans="2:40" ht="15.75" customHeight="1" thickBot="1" x14ac:dyDescent="0.4">
      <c r="B43" s="41" t="s">
        <v>96</v>
      </c>
      <c r="C43" s="245"/>
      <c r="D43" s="246"/>
      <c r="E43" s="246"/>
      <c r="F43" s="247"/>
      <c r="G43" s="245"/>
      <c r="H43" s="246"/>
      <c r="I43" s="246"/>
      <c r="J43" s="247"/>
      <c r="K43" s="245"/>
      <c r="L43" s="246"/>
      <c r="M43" s="246"/>
      <c r="N43" s="247"/>
      <c r="O43" s="245"/>
      <c r="P43" s="246"/>
      <c r="Q43" s="246"/>
      <c r="R43" s="247"/>
      <c r="S43" s="245"/>
      <c r="T43" s="246"/>
      <c r="U43" s="246"/>
      <c r="V43" s="247"/>
      <c r="W43" s="245"/>
      <c r="X43" s="246"/>
      <c r="Y43" s="246"/>
      <c r="AA43" s="44" t="s">
        <v>109</v>
      </c>
      <c r="AB43" s="191">
        <v>8152011.6299999952</v>
      </c>
      <c r="AC43" s="191">
        <v>62371356.19000002</v>
      </c>
      <c r="AD43" s="191">
        <f>AD39+AD42</f>
        <v>48571310.769999996</v>
      </c>
      <c r="AE43" s="191">
        <v>26795630.670000002</v>
      </c>
      <c r="AF43" s="191">
        <f>AF39+AF42</f>
        <v>16457573.330000006</v>
      </c>
      <c r="AG43" s="191">
        <f>AG39+AG42</f>
        <v>7194521.3199999928</v>
      </c>
      <c r="AH43" s="191">
        <v>7141839.2199999988</v>
      </c>
      <c r="AI43" s="191">
        <v>10091686.380000018</v>
      </c>
      <c r="AJ43" s="191">
        <v>7599104.2399999946</v>
      </c>
      <c r="AK43" s="191">
        <f>AK42+AK40</f>
        <v>26118448.592951544</v>
      </c>
      <c r="AL43" s="191">
        <f>AL42+AL40</f>
        <v>25756309.594651312</v>
      </c>
      <c r="AM43" s="191">
        <f>AM42+AM40</f>
        <v>20520901.804647915</v>
      </c>
      <c r="AN43" s="191">
        <f>AN42+AN40</f>
        <v>23908026.204733782</v>
      </c>
    </row>
    <row r="44" spans="2:40" ht="15.75" customHeight="1" x14ac:dyDescent="0.35">
      <c r="B44" s="41" t="s">
        <v>97</v>
      </c>
      <c r="C44" s="251"/>
      <c r="D44" s="252"/>
      <c r="E44" s="252"/>
      <c r="F44" s="253"/>
      <c r="G44" s="251"/>
      <c r="H44" s="252"/>
      <c r="I44" s="252"/>
      <c r="J44" s="253"/>
      <c r="K44" s="251"/>
      <c r="L44" s="252"/>
      <c r="M44" s="252"/>
      <c r="N44" s="253"/>
      <c r="O44" s="251"/>
      <c r="P44" s="252"/>
      <c r="Q44" s="252"/>
      <c r="R44" s="253"/>
      <c r="S44" s="251"/>
      <c r="T44" s="252"/>
      <c r="U44" s="252"/>
      <c r="V44" s="253"/>
      <c r="W44" s="251"/>
      <c r="X44" s="252"/>
      <c r="Y44" s="252"/>
    </row>
    <row r="45" spans="2:40" ht="15.75" customHeight="1" x14ac:dyDescent="0.35">
      <c r="B45" s="41" t="s">
        <v>98</v>
      </c>
      <c r="C45" s="245">
        <v>2024785.7200000002</v>
      </c>
      <c r="D45" s="246">
        <v>9669706.879999999</v>
      </c>
      <c r="E45" s="246">
        <v>12824241.9</v>
      </c>
      <c r="F45" s="247">
        <v>13636692.32</v>
      </c>
      <c r="G45" s="245">
        <v>1953293.25</v>
      </c>
      <c r="H45" s="246">
        <v>4097421.53</v>
      </c>
      <c r="I45" s="246">
        <v>15299664.210000001</v>
      </c>
      <c r="J45" s="247">
        <v>12059055.82</v>
      </c>
      <c r="K45" s="245">
        <v>2846004.7</v>
      </c>
      <c r="L45" s="246">
        <v>6082965</v>
      </c>
      <c r="M45" s="254">
        <v>7899171.9399999995</v>
      </c>
      <c r="N45" s="247">
        <v>11486440.619999999</v>
      </c>
      <c r="O45" s="245">
        <v>2388679.98</v>
      </c>
      <c r="P45" s="246">
        <v>7689605.0999999996</v>
      </c>
      <c r="Q45" s="246">
        <v>11001570</v>
      </c>
      <c r="R45" s="247">
        <v>15104775.92</v>
      </c>
      <c r="S45" s="245">
        <v>2842806</v>
      </c>
      <c r="T45" s="246">
        <v>13409579.57</v>
      </c>
      <c r="U45" s="246">
        <v>14747276.24</v>
      </c>
      <c r="V45" s="247">
        <v>20477500.740000002</v>
      </c>
      <c r="W45" s="245">
        <v>2930877.3600000003</v>
      </c>
      <c r="X45" s="246">
        <v>5861841.04</v>
      </c>
      <c r="Y45" s="246">
        <v>8534191.0299999993</v>
      </c>
    </row>
    <row r="46" spans="2:40" ht="15.75" customHeight="1" x14ac:dyDescent="0.35">
      <c r="B46" s="41" t="s">
        <v>99</v>
      </c>
      <c r="C46" s="251"/>
      <c r="D46" s="252"/>
      <c r="E46" s="252"/>
      <c r="F46" s="253"/>
      <c r="G46" s="251"/>
      <c r="H46" s="252"/>
      <c r="I46" s="252"/>
      <c r="J46" s="253"/>
      <c r="K46" s="251"/>
      <c r="L46" s="252"/>
      <c r="M46" s="255"/>
      <c r="N46" s="253"/>
      <c r="O46" s="251"/>
      <c r="P46" s="252"/>
      <c r="Q46" s="252"/>
      <c r="R46" s="253"/>
      <c r="S46" s="251"/>
      <c r="T46" s="252"/>
      <c r="U46" s="252"/>
      <c r="V46" s="253"/>
      <c r="W46" s="251"/>
      <c r="X46" s="252"/>
      <c r="Y46" s="252"/>
    </row>
    <row r="47" spans="2:40" ht="15.75" customHeight="1" x14ac:dyDescent="0.35">
      <c r="B47" s="41" t="s">
        <v>100</v>
      </c>
      <c r="C47" s="245"/>
      <c r="D47" s="246"/>
      <c r="E47" s="246"/>
      <c r="F47" s="247"/>
      <c r="G47" s="245"/>
      <c r="H47" s="246"/>
      <c r="I47" s="246"/>
      <c r="J47" s="247"/>
      <c r="K47" s="245"/>
      <c r="L47" s="246"/>
      <c r="M47" s="255"/>
      <c r="N47" s="247"/>
      <c r="O47" s="245"/>
      <c r="P47" s="246"/>
      <c r="Q47" s="246"/>
      <c r="R47" s="247"/>
      <c r="S47" s="245"/>
      <c r="T47" s="246"/>
      <c r="U47" s="246"/>
      <c r="V47" s="247"/>
      <c r="W47" s="245"/>
      <c r="X47" s="246"/>
      <c r="Y47" s="246"/>
    </row>
    <row r="48" spans="2:40" ht="15.75" customHeight="1" x14ac:dyDescent="0.35">
      <c r="B48" s="41" t="s">
        <v>101</v>
      </c>
      <c r="C48" s="245">
        <v>364676.43</v>
      </c>
      <c r="D48" s="246">
        <v>695990.03</v>
      </c>
      <c r="E48" s="246">
        <v>996064.48</v>
      </c>
      <c r="F48" s="247">
        <v>1238518.08</v>
      </c>
      <c r="G48" s="245">
        <v>232608.48</v>
      </c>
      <c r="H48" s="246">
        <v>469105.6</v>
      </c>
      <c r="I48" s="246">
        <v>701831.08</v>
      </c>
      <c r="J48" s="247">
        <v>873236.16999999993</v>
      </c>
      <c r="K48" s="245">
        <v>212161.66999999995</v>
      </c>
      <c r="L48" s="246">
        <v>298229.40000000002</v>
      </c>
      <c r="M48" s="255">
        <v>399190.89</v>
      </c>
      <c r="N48" s="247">
        <v>524496.31000000006</v>
      </c>
      <c r="O48" s="245">
        <v>7931676.0699999994</v>
      </c>
      <c r="P48" s="246">
        <v>15935876.489999998</v>
      </c>
      <c r="Q48" s="246">
        <v>24447617.09</v>
      </c>
      <c r="R48" s="247">
        <v>33287642.449999999</v>
      </c>
      <c r="S48" s="245">
        <v>8463190.129999999</v>
      </c>
      <c r="T48" s="246">
        <v>16972574.250000004</v>
      </c>
      <c r="U48" s="246">
        <v>25611640.750000004</v>
      </c>
      <c r="V48" s="247">
        <v>34722736</v>
      </c>
      <c r="W48" s="245">
        <v>8711346.7700000014</v>
      </c>
      <c r="X48" s="246">
        <v>17515966.939999998</v>
      </c>
      <c r="Y48" s="246">
        <v>26157910</v>
      </c>
    </row>
    <row r="49" spans="2:25" ht="15.75" customHeight="1" x14ac:dyDescent="0.35">
      <c r="B49" s="41" t="s">
        <v>102</v>
      </c>
      <c r="C49" s="251">
        <v>223619.74</v>
      </c>
      <c r="D49" s="252">
        <v>437077.05000000005</v>
      </c>
      <c r="E49" s="252">
        <v>655389.96000000008</v>
      </c>
      <c r="F49" s="253">
        <v>1108674.2900000005</v>
      </c>
      <c r="G49" s="251">
        <v>271082.94520547945</v>
      </c>
      <c r="H49" s="252">
        <v>542436.84520547953</v>
      </c>
      <c r="I49" s="252">
        <v>884727.29999999993</v>
      </c>
      <c r="J49" s="253">
        <v>1148288.6200000001</v>
      </c>
      <c r="K49" s="251">
        <v>777276.12999999989</v>
      </c>
      <c r="L49" s="252">
        <v>727238.62999999977</v>
      </c>
      <c r="M49" s="255">
        <v>1051742.1899999995</v>
      </c>
      <c r="N49" s="253">
        <v>1426333.23</v>
      </c>
      <c r="O49" s="251">
        <v>2129415.7599999984</v>
      </c>
      <c r="P49" s="252">
        <v>2946584.58</v>
      </c>
      <c r="Q49" s="252">
        <v>4464140.7499999972</v>
      </c>
      <c r="R49" s="253">
        <v>8442745</v>
      </c>
      <c r="S49" s="251">
        <v>1956576.5600000005</v>
      </c>
      <c r="T49" s="252">
        <v>3808543.9700000025</v>
      </c>
      <c r="U49" s="252">
        <v>5499992.0200000005</v>
      </c>
      <c r="V49" s="253">
        <v>7154234.9400000013</v>
      </c>
      <c r="W49" s="251">
        <v>1601763.9899999998</v>
      </c>
      <c r="X49" s="252">
        <v>3181522.2400000007</v>
      </c>
      <c r="Y49" s="252">
        <v>4709365.3599999994</v>
      </c>
    </row>
    <row r="50" spans="2:25" ht="15.75" customHeight="1" x14ac:dyDescent="0.35">
      <c r="B50" s="41" t="s">
        <v>103</v>
      </c>
      <c r="C50" s="251"/>
      <c r="D50" s="252"/>
      <c r="E50" s="252"/>
      <c r="F50" s="253"/>
      <c r="G50" s="251"/>
      <c r="H50" s="252"/>
      <c r="I50" s="252"/>
      <c r="J50" s="253"/>
      <c r="K50" s="251"/>
      <c r="L50" s="252"/>
      <c r="M50" s="252"/>
      <c r="N50" s="253"/>
      <c r="O50" s="251"/>
      <c r="P50" s="252"/>
      <c r="Q50" s="252"/>
      <c r="R50" s="253"/>
      <c r="S50" s="251"/>
      <c r="T50" s="252"/>
      <c r="U50" s="252"/>
      <c r="V50" s="253"/>
      <c r="W50" s="251"/>
      <c r="X50" s="252"/>
      <c r="Y50" s="252"/>
    </row>
    <row r="51" spans="2:25" ht="15.75" customHeight="1" x14ac:dyDescent="0.35">
      <c r="B51" s="42" t="s">
        <v>104</v>
      </c>
      <c r="C51" s="224">
        <f>C36-C41</f>
        <v>-113081.8900000006</v>
      </c>
      <c r="D51" s="211">
        <f t="shared" ref="D51:Y51" si="51">D36-D41</f>
        <v>-5485780.6399999987</v>
      </c>
      <c r="E51" s="211">
        <f t="shared" si="51"/>
        <v>-7434448.0200000014</v>
      </c>
      <c r="F51" s="225">
        <f t="shared" si="51"/>
        <v>-9617456.370000001</v>
      </c>
      <c r="G51" s="224">
        <f t="shared" si="51"/>
        <v>72100.114794520661</v>
      </c>
      <c r="H51" s="211">
        <f t="shared" si="51"/>
        <v>1835528.9247945212</v>
      </c>
      <c r="I51" s="211">
        <f t="shared" si="51"/>
        <v>139790.41000000015</v>
      </c>
      <c r="J51" s="225">
        <f t="shared" si="51"/>
        <v>3041921.7300000004</v>
      </c>
      <c r="K51" s="224">
        <f t="shared" si="51"/>
        <v>-1122948.5</v>
      </c>
      <c r="L51" s="211">
        <f t="shared" si="51"/>
        <v>260408.96999999974</v>
      </c>
      <c r="M51" s="211">
        <f t="shared" si="51"/>
        <v>7563102.9800000004</v>
      </c>
      <c r="N51" s="225">
        <f t="shared" si="51"/>
        <v>7220157.8399999999</v>
      </c>
      <c r="O51" s="224">
        <f t="shared" si="51"/>
        <v>-10971074.809999997</v>
      </c>
      <c r="P51" s="211">
        <f t="shared" si="51"/>
        <v>-14449367.169999994</v>
      </c>
      <c r="Q51" s="211">
        <f t="shared" si="51"/>
        <v>-31118324.840000004</v>
      </c>
      <c r="R51" s="225">
        <f t="shared" si="51"/>
        <v>-47646398.369999997</v>
      </c>
      <c r="S51" s="224">
        <f t="shared" si="51"/>
        <v>-10160530.689999999</v>
      </c>
      <c r="T51" s="211">
        <f t="shared" si="51"/>
        <v>-34190697.790000007</v>
      </c>
      <c r="U51" s="211">
        <f t="shared" si="51"/>
        <v>-40758909.010000005</v>
      </c>
      <c r="V51" s="225">
        <f t="shared" si="51"/>
        <v>-57254471.680000007</v>
      </c>
      <c r="W51" s="224">
        <f t="shared" si="51"/>
        <v>-10636403.120000003</v>
      </c>
      <c r="X51" s="211">
        <f t="shared" si="51"/>
        <v>-24946251.219999999</v>
      </c>
      <c r="Y51" s="211">
        <f t="shared" si="51"/>
        <v>-32817788.390000001</v>
      </c>
    </row>
    <row r="52" spans="2:25" ht="15.75" customHeight="1" x14ac:dyDescent="0.35">
      <c r="B52" s="44" t="s">
        <v>105</v>
      </c>
      <c r="C52" s="240">
        <f>C21+C34+C51</f>
        <v>-1737793.9800170623</v>
      </c>
      <c r="D52" s="241">
        <f t="shared" ref="D52:Y52" si="52">D21+D34+D51</f>
        <v>-4807383.7200153414</v>
      </c>
      <c r="E52" s="241">
        <f t="shared" si="52"/>
        <v>-4970270.9900128897</v>
      </c>
      <c r="F52" s="242">
        <f t="shared" si="52"/>
        <v>-6485987.6199570373</v>
      </c>
      <c r="G52" s="240">
        <f t="shared" si="52"/>
        <v>-2490634.4152814001</v>
      </c>
      <c r="H52" s="241">
        <f t="shared" si="52"/>
        <v>535437.60472890362</v>
      </c>
      <c r="I52" s="241">
        <f t="shared" si="52"/>
        <v>725078.33628791571</v>
      </c>
      <c r="J52" s="242">
        <f t="shared" si="52"/>
        <v>1435397.9899249263</v>
      </c>
      <c r="K52" s="240">
        <f t="shared" si="52"/>
        <v>200492.50766329281</v>
      </c>
      <c r="L52" s="241">
        <f t="shared" si="52"/>
        <v>418112.14764523041</v>
      </c>
      <c r="M52" s="241">
        <f t="shared" si="52"/>
        <v>1311577.9800000004</v>
      </c>
      <c r="N52" s="242">
        <f t="shared" si="52"/>
        <v>761412.52765678987</v>
      </c>
      <c r="O52" s="240">
        <f t="shared" si="52"/>
        <v>188539.46999999322</v>
      </c>
      <c r="P52" s="241">
        <f t="shared" si="52"/>
        <v>540141.62000000477</v>
      </c>
      <c r="Q52" s="241">
        <f t="shared" si="52"/>
        <v>358434.46999999136</v>
      </c>
      <c r="R52" s="242">
        <f t="shared" si="52"/>
        <v>29512.970000006258</v>
      </c>
      <c r="S52" s="240">
        <f t="shared" si="52"/>
        <v>-672919.61000000127</v>
      </c>
      <c r="T52" s="241">
        <f t="shared" si="52"/>
        <v>13217278.509999998</v>
      </c>
      <c r="U52" s="241">
        <f t="shared" si="52"/>
        <v>19929926.799999997</v>
      </c>
      <c r="V52" s="242">
        <f t="shared" si="52"/>
        <v>6585827.6299999952</v>
      </c>
      <c r="W52" s="240">
        <f t="shared" si="52"/>
        <v>403653.37999999709</v>
      </c>
      <c r="X52" s="241">
        <f t="shared" si="52"/>
        <v>-4424385.599999994</v>
      </c>
      <c r="Y52" s="241">
        <f t="shared" si="52"/>
        <v>-6284206.200000003</v>
      </c>
    </row>
    <row r="53" spans="2:25" ht="15.75" customHeight="1" x14ac:dyDescent="0.35">
      <c r="B53" s="44" t="s">
        <v>106</v>
      </c>
      <c r="C53" s="216">
        <f>C56-C55</f>
        <v>-1737793.9800170623</v>
      </c>
      <c r="D53" s="214">
        <f t="shared" ref="D53:Y53" si="53">D56-D55</f>
        <v>-4807383.7200153414</v>
      </c>
      <c r="E53" s="214">
        <f t="shared" si="53"/>
        <v>-4970270.9900128897</v>
      </c>
      <c r="F53" s="226">
        <f t="shared" si="53"/>
        <v>-6485987.6199570373</v>
      </c>
      <c r="G53" s="216">
        <f t="shared" si="53"/>
        <v>-2490634.4152814001</v>
      </c>
      <c r="H53" s="214">
        <f t="shared" si="53"/>
        <v>535437.60472890362</v>
      </c>
      <c r="I53" s="214">
        <f t="shared" si="53"/>
        <v>725078.33628791571</v>
      </c>
      <c r="J53" s="226">
        <f t="shared" si="53"/>
        <v>1435397.9899249263</v>
      </c>
      <c r="K53" s="216">
        <f t="shared" si="53"/>
        <v>200492.50766329281</v>
      </c>
      <c r="L53" s="214">
        <f t="shared" si="53"/>
        <v>418112.14764523041</v>
      </c>
      <c r="M53" s="214">
        <f t="shared" si="53"/>
        <v>1311577.9800000004</v>
      </c>
      <c r="N53" s="226">
        <f t="shared" si="53"/>
        <v>761412.52765678987</v>
      </c>
      <c r="O53" s="216">
        <f t="shared" si="53"/>
        <v>188539.46999999322</v>
      </c>
      <c r="P53" s="214">
        <f t="shared" si="53"/>
        <v>540141.62000000477</v>
      </c>
      <c r="Q53" s="214">
        <f t="shared" si="53"/>
        <v>358434.46999999136</v>
      </c>
      <c r="R53" s="226">
        <f t="shared" si="53"/>
        <v>29512.970000006258</v>
      </c>
      <c r="S53" s="216">
        <f t="shared" si="53"/>
        <v>-672919.61000000127</v>
      </c>
      <c r="T53" s="214">
        <f t="shared" si="53"/>
        <v>13217278.509999998</v>
      </c>
      <c r="U53" s="214">
        <f t="shared" si="53"/>
        <v>19929926.799999997</v>
      </c>
      <c r="V53" s="226">
        <f t="shared" si="53"/>
        <v>6585827.6299999952</v>
      </c>
      <c r="W53" s="216">
        <f t="shared" si="53"/>
        <v>403653.37999999709</v>
      </c>
      <c r="X53" s="214">
        <f t="shared" si="53"/>
        <v>-4424385.599999994</v>
      </c>
      <c r="Y53" s="214">
        <f t="shared" si="53"/>
        <v>-6284206.200000003</v>
      </c>
    </row>
    <row r="54" spans="2:25" ht="15.75" customHeight="1" x14ac:dyDescent="0.35">
      <c r="B54" s="45" t="s">
        <v>107</v>
      </c>
      <c r="C54" s="227"/>
      <c r="D54" s="213"/>
      <c r="E54" s="213"/>
      <c r="F54" s="229"/>
      <c r="G54" s="227"/>
      <c r="H54" s="213"/>
      <c r="I54" s="213"/>
      <c r="J54" s="229"/>
      <c r="K54" s="227"/>
      <c r="L54" s="213"/>
      <c r="M54" s="213"/>
      <c r="N54" s="229"/>
      <c r="O54" s="227"/>
      <c r="P54" s="213"/>
      <c r="Q54" s="213"/>
      <c r="R54" s="229"/>
      <c r="S54" s="227"/>
      <c r="T54" s="213"/>
      <c r="U54" s="213"/>
      <c r="V54" s="229"/>
      <c r="W54" s="227"/>
      <c r="X54" s="213"/>
      <c r="Y54" s="213"/>
    </row>
    <row r="55" spans="2:25" ht="15.75" customHeight="1" x14ac:dyDescent="0.35">
      <c r="B55" s="44" t="s">
        <v>108</v>
      </c>
      <c r="C55" s="216">
        <v>-6002639.4100283021</v>
      </c>
      <c r="D55" s="214">
        <v>5543093.7899997588</v>
      </c>
      <c r="E55" s="214">
        <v>5543093.7899997588</v>
      </c>
      <c r="F55" s="226">
        <v>-6002668.7700454593</v>
      </c>
      <c r="G55" s="216">
        <v>-12488627.459984086</v>
      </c>
      <c r="H55" s="214">
        <v>484117.97999999713</v>
      </c>
      <c r="I55" s="214">
        <v>484117.97999999713</v>
      </c>
      <c r="J55" s="226">
        <v>484118</v>
      </c>
      <c r="K55" s="216">
        <v>775258</v>
      </c>
      <c r="L55" s="214">
        <v>775258</v>
      </c>
      <c r="M55" s="214">
        <v>775258</v>
      </c>
      <c r="N55" s="226">
        <v>775257.85992273688</v>
      </c>
      <c r="O55" s="216">
        <v>1536670</v>
      </c>
      <c r="P55" s="214">
        <v>1536670</v>
      </c>
      <c r="Q55" s="214">
        <v>1536670</v>
      </c>
      <c r="R55" s="226">
        <v>1536670</v>
      </c>
      <c r="S55" s="216">
        <v>1566184</v>
      </c>
      <c r="T55" s="214">
        <v>1566183</v>
      </c>
      <c r="U55" s="214">
        <v>1566183</v>
      </c>
      <c r="V55" s="226">
        <v>1566183</v>
      </c>
      <c r="W55" s="216">
        <v>8152011</v>
      </c>
      <c r="X55" s="214">
        <v>8152011</v>
      </c>
      <c r="Y55" s="214">
        <v>8152011</v>
      </c>
    </row>
    <row r="56" spans="2:25" ht="15.75" customHeight="1" thickBot="1" x14ac:dyDescent="0.4">
      <c r="B56" s="44" t="s">
        <v>109</v>
      </c>
      <c r="C56" s="218">
        <v>-7740433.3900453644</v>
      </c>
      <c r="D56" s="217">
        <v>735710.06998441741</v>
      </c>
      <c r="E56" s="217">
        <v>572822.7999868691</v>
      </c>
      <c r="F56" s="256">
        <v>-12488656.390002497</v>
      </c>
      <c r="G56" s="218">
        <v>-14979261.875265487</v>
      </c>
      <c r="H56" s="217">
        <v>1019555.5847289008</v>
      </c>
      <c r="I56" s="217">
        <v>1209196.3162879129</v>
      </c>
      <c r="J56" s="256">
        <f>J52+J55</f>
        <v>1919515.9899249263</v>
      </c>
      <c r="K56" s="218">
        <v>975750.50766329281</v>
      </c>
      <c r="L56" s="217">
        <v>1193370.1476452304</v>
      </c>
      <c r="M56" s="217">
        <v>2086835.9800000004</v>
      </c>
      <c r="N56" s="256">
        <v>1536670.3875795268</v>
      </c>
      <c r="O56" s="218">
        <v>1725209.4699999932</v>
      </c>
      <c r="P56" s="217">
        <v>2076811.6200000048</v>
      </c>
      <c r="Q56" s="217">
        <v>1895104.4699999914</v>
      </c>
      <c r="R56" s="256">
        <v>1566182.9700000063</v>
      </c>
      <c r="S56" s="218">
        <v>893264.38999999873</v>
      </c>
      <c r="T56" s="217">
        <v>14783461.509999998</v>
      </c>
      <c r="U56" s="217">
        <v>21496109.799999997</v>
      </c>
      <c r="V56" s="256">
        <v>8152010.6299999952</v>
      </c>
      <c r="W56" s="218">
        <v>8555664.3799999971</v>
      </c>
      <c r="X56" s="217">
        <v>3727625.400000006</v>
      </c>
      <c r="Y56" s="217">
        <v>1867804.799999997</v>
      </c>
    </row>
    <row r="57" spans="2:25" ht="15.75" customHeight="1" x14ac:dyDescent="0.35"/>
    <row r="58" spans="2:25" ht="15.75" customHeight="1" x14ac:dyDescent="0.35"/>
    <row r="59" spans="2:25" ht="15.75" customHeight="1" x14ac:dyDescent="0.35"/>
  </sheetData>
  <mergeCells count="6">
    <mergeCell ref="K3:N3"/>
    <mergeCell ref="O3:R3"/>
    <mergeCell ref="S3:V3"/>
    <mergeCell ref="W3:Y3"/>
    <mergeCell ref="C3:F3"/>
    <mergeCell ref="G3:J3"/>
  </mergeCells>
  <phoneticPr fontId="28" type="noConversion"/>
  <pageMargins left="0.19685039370078741" right="0.19685039370078741" top="0.59055118110236227" bottom="0.59055118110236227" header="0" footer="0"/>
  <pageSetup paperSize="9"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RZiS</vt:lpstr>
      <vt:lpstr>Aktywa</vt:lpstr>
      <vt:lpstr>Pasywa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Janaszek</dc:creator>
  <cp:lastModifiedBy>Ewa Borodziuk</cp:lastModifiedBy>
  <cp:lastPrinted>2021-07-16T13:59:14Z</cp:lastPrinted>
  <dcterms:created xsi:type="dcterms:W3CDTF">2021-07-15T09:55:47Z</dcterms:created>
  <dcterms:modified xsi:type="dcterms:W3CDTF">2024-11-27T10:24:50Z</dcterms:modified>
</cp:coreProperties>
</file>